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O:\Last Mile\Towns\Unserved Towns\Rowe\Rowe Readiness\"/>
    </mc:Choice>
  </mc:AlternateContent>
  <bookViews>
    <workbookView xWindow="0" yWindow="0" windowWidth="28800" windowHeight="12435"/>
  </bookViews>
  <sheets>
    <sheet name="SUMMARY" sheetId="10" r:id="rId1"/>
    <sheet name="Expense Projections" sheetId="9" r:id="rId2"/>
    <sheet name="Chart" sheetId="11" r:id="rId3"/>
    <sheet name="Town Data" sheetId="3" r:id="rId4"/>
    <sheet name="Lookup" sheetId="12" state="hidden" r:id="rId5"/>
  </sheets>
  <definedNames>
    <definedName name="_xlnm._FilterDatabase" localSheetId="3" hidden="1">'Town Data'!$A$1:$H$46</definedName>
    <definedName name="DropPercent">SUMMARY!$6:$6</definedName>
    <definedName name="MarketSize">SUMMARY!$13:$13</definedName>
    <definedName name="PremiseCount">SUMMARY!$5:$5</definedName>
    <definedName name="_xlnm.Print_Area" localSheetId="1">'Expense Projections'!$A$1:$K$57</definedName>
    <definedName name="_xlnm.Print_Area" localSheetId="0">SUMMARY!$A$1:$F$44</definedName>
    <definedName name="_xlnm.Print_Titles" localSheetId="1">'Expense Projections'!$13:$13</definedName>
    <definedName name="SeasonalCount">SUMMARY!$10:$10</definedName>
    <definedName name="seasonalEffectiveCount">SUMMARY!$11:$11</definedName>
    <definedName name="SeasonalMonths">SUMMARY!$9:$9</definedName>
    <definedName name="SeasonalPercent">SUMMARY!$8:$8</definedName>
    <definedName name="takerate">SUMMARY!$14:$14</definedName>
    <definedName name="TOWN">SUMMARY!$A$2</definedName>
    <definedName name="townlist">'Town Data'!$B$2:$B$45</definedName>
    <definedName name="units">SUMMARY!$12:$12</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8" i="9" l="1"/>
  <c r="G38" i="9" s="1"/>
  <c r="H38" i="9" s="1"/>
  <c r="I38" i="9" s="1"/>
  <c r="F37" i="9"/>
  <c r="G37" i="9"/>
  <c r="F55" i="9"/>
  <c r="G55" i="9" s="1"/>
  <c r="H55" i="9" s="1"/>
  <c r="I55" i="9" s="1"/>
  <c r="F54" i="9"/>
  <c r="G54" i="9"/>
  <c r="H54" i="9" s="1"/>
  <c r="F47" i="9"/>
  <c r="G47" i="9" s="1"/>
  <c r="F46" i="9"/>
  <c r="G46" i="9"/>
  <c r="H46" i="9" s="1"/>
  <c r="I46" i="9" s="1"/>
  <c r="F42" i="9"/>
  <c r="G42" i="9" s="1"/>
  <c r="H42" i="9" s="1"/>
  <c r="F41" i="9"/>
  <c r="G41" i="9"/>
  <c r="H41" i="9" s="1"/>
  <c r="I41" i="9" s="1"/>
  <c r="J41" i="9" s="1"/>
  <c r="C40" i="9"/>
  <c r="F29" i="9"/>
  <c r="G29" i="9"/>
  <c r="F30" i="9"/>
  <c r="G30" i="9" s="1"/>
  <c r="H30" i="9" s="1"/>
  <c r="I30" i="9" s="1"/>
  <c r="J30" i="9" s="1"/>
  <c r="F21" i="9"/>
  <c r="G21" i="9"/>
  <c r="H21" i="9" s="1"/>
  <c r="I21" i="9" s="1"/>
  <c r="F22" i="9"/>
  <c r="G22" i="9" s="1"/>
  <c r="H22" i="9" s="1"/>
  <c r="I22" i="9" s="1"/>
  <c r="J22" i="9" s="1"/>
  <c r="J2" i="3"/>
  <c r="I2" i="3"/>
  <c r="F18" i="10"/>
  <c r="A18" i="10" s="1"/>
  <c r="F17" i="10"/>
  <c r="A17" i="10"/>
  <c r="C6" i="10"/>
  <c r="D6" i="10" s="1"/>
  <c r="E6" i="10" s="1"/>
  <c r="E14" i="10"/>
  <c r="F14" i="10" s="1"/>
  <c r="F48" i="9"/>
  <c r="G48" i="9"/>
  <c r="F44" i="9"/>
  <c r="G44" i="9" s="1"/>
  <c r="H44" i="9" s="1"/>
  <c r="I44" i="9" s="1"/>
  <c r="B8" i="11"/>
  <c r="C8" i="11"/>
  <c r="D8" i="11"/>
  <c r="B7" i="11"/>
  <c r="C7" i="11"/>
  <c r="D7" i="11"/>
  <c r="C24" i="10"/>
  <c r="D24" i="10" s="1"/>
  <c r="E24" i="10" s="1"/>
  <c r="F24" i="10" s="1"/>
  <c r="C23" i="10"/>
  <c r="D23" i="10" s="1"/>
  <c r="E23" i="10" s="1"/>
  <c r="F23" i="10" s="1"/>
  <c r="A2" i="9"/>
  <c r="E6" i="9"/>
  <c r="E5" i="9"/>
  <c r="E7" i="9"/>
  <c r="G33" i="9" s="1"/>
  <c r="E4" i="9"/>
  <c r="D40" i="9"/>
  <c r="F40" i="9" s="1"/>
  <c r="G40" i="9" s="1"/>
  <c r="H40" i="9" s="1"/>
  <c r="I40" i="9" s="1"/>
  <c r="E3" i="9"/>
  <c r="H14" i="9"/>
  <c r="C9" i="10"/>
  <c r="D9" i="10" s="1"/>
  <c r="E9" i="10" s="1"/>
  <c r="F9" i="10" s="1"/>
  <c r="C8" i="10"/>
  <c r="D8" i="10" s="1"/>
  <c r="E8" i="10" s="1"/>
  <c r="F8" i="10" s="1"/>
  <c r="F12" i="10"/>
  <c r="E12" i="10"/>
  <c r="D12" i="10"/>
  <c r="C12" i="10"/>
  <c r="B12" i="10"/>
  <c r="B13" i="10" s="1"/>
  <c r="B5" i="10"/>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4" i="3"/>
  <c r="J35" i="3"/>
  <c r="J36" i="3"/>
  <c r="J37" i="3"/>
  <c r="J38" i="3"/>
  <c r="J39" i="3"/>
  <c r="J40" i="3"/>
  <c r="J41" i="3"/>
  <c r="J42" i="3"/>
  <c r="J43" i="3"/>
  <c r="J44" i="3"/>
  <c r="J45" i="3"/>
  <c r="J46"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4" i="3"/>
  <c r="I35" i="3"/>
  <c r="I36" i="3"/>
  <c r="I37" i="3"/>
  <c r="I38" i="3"/>
  <c r="I39" i="3"/>
  <c r="I40" i="3"/>
  <c r="I41" i="3"/>
  <c r="I42" i="3"/>
  <c r="I43" i="3"/>
  <c r="I44" i="3"/>
  <c r="I45" i="3"/>
  <c r="H46" i="3"/>
  <c r="G46" i="3"/>
  <c r="F46" i="3"/>
  <c r="E46" i="3"/>
  <c r="H37" i="9"/>
  <c r="I37" i="9" s="1"/>
  <c r="I14" i="9"/>
  <c r="J14" i="9" s="1"/>
  <c r="J44" i="9" s="1"/>
  <c r="H29" i="9"/>
  <c r="H47" i="9"/>
  <c r="I47" i="9" s="1"/>
  <c r="J47" i="9" s="1"/>
  <c r="I42" i="9"/>
  <c r="D26" i="9"/>
  <c r="F26" i="9" s="1"/>
  <c r="G26" i="9" s="1"/>
  <c r="H26" i="9" s="1"/>
  <c r="I26" i="9" s="1"/>
  <c r="B10" i="10"/>
  <c r="B11" i="10" s="1"/>
  <c r="B7" i="10"/>
  <c r="H48" i="9"/>
  <c r="I48" i="9"/>
  <c r="F10" i="9"/>
  <c r="F36" i="9" s="1"/>
  <c r="G36" i="9" s="1"/>
  <c r="H36" i="9" s="1"/>
  <c r="I36" i="9" s="1"/>
  <c r="J36" i="9" s="1"/>
  <c r="D39" i="9"/>
  <c r="F39" i="9" s="1"/>
  <c r="G39" i="9" s="1"/>
  <c r="H39" i="9" s="1"/>
  <c r="I39" i="9" s="1"/>
  <c r="C5" i="10"/>
  <c r="F16" i="9"/>
  <c r="I54" i="9"/>
  <c r="J54" i="9" s="1"/>
  <c r="I29" i="9"/>
  <c r="C7" i="10"/>
  <c r="C3" i="11"/>
  <c r="D3" i="11" s="1"/>
  <c r="G16" i="9"/>
  <c r="D5" i="10"/>
  <c r="H16" i="9"/>
  <c r="B3" i="11"/>
  <c r="E5" i="10"/>
  <c r="I10" i="9" s="1"/>
  <c r="I16" i="9"/>
  <c r="F50" i="9"/>
  <c r="G50" i="9"/>
  <c r="H50" i="9" s="1"/>
  <c r="I50" i="9" s="1"/>
  <c r="F51" i="9"/>
  <c r="G51" i="9" s="1"/>
  <c r="H51" i="9" s="1"/>
  <c r="I51" i="9" s="1"/>
  <c r="J51" i="9"/>
  <c r="F23" i="9"/>
  <c r="G23" i="9" s="1"/>
  <c r="H23" i="9" s="1"/>
  <c r="I23" i="9"/>
  <c r="F20" i="9"/>
  <c r="G20" i="9"/>
  <c r="H20" i="9"/>
  <c r="I20" i="9" s="1"/>
  <c r="F19" i="9"/>
  <c r="G19" i="9"/>
  <c r="H19" i="9" s="1"/>
  <c r="I19" i="9" s="1"/>
  <c r="F18" i="9"/>
  <c r="G18" i="9" s="1"/>
  <c r="H18" i="9" s="1"/>
  <c r="I18" i="9" s="1"/>
  <c r="J18" i="9" s="1"/>
  <c r="F17" i="9"/>
  <c r="F35" i="9"/>
  <c r="G35" i="9"/>
  <c r="H35" i="9"/>
  <c r="I35" i="9" s="1"/>
  <c r="F31" i="9"/>
  <c r="G31" i="9"/>
  <c r="H31" i="9" s="1"/>
  <c r="I31" i="9" s="1"/>
  <c r="J31" i="9" s="1"/>
  <c r="F28" i="9"/>
  <c r="G28" i="9" s="1"/>
  <c r="H28" i="9" s="1"/>
  <c r="I28" i="9" s="1"/>
  <c r="F27" i="9"/>
  <c r="G27" i="9" s="1"/>
  <c r="H27" i="9" s="1"/>
  <c r="I27" i="9"/>
  <c r="J27" i="9" s="1"/>
  <c r="F25" i="9"/>
  <c r="G25" i="9" s="1"/>
  <c r="H25" i="9" s="1"/>
  <c r="I25" i="9" s="1"/>
  <c r="J25" i="9"/>
  <c r="G17" i="9"/>
  <c r="H17" i="9" s="1"/>
  <c r="I17" i="9" s="1"/>
  <c r="H33" i="9" l="1"/>
  <c r="F34" i="9"/>
  <c r="J33" i="9"/>
  <c r="I46" i="3"/>
  <c r="J19" i="9"/>
  <c r="J46" i="9"/>
  <c r="J26" i="9"/>
  <c r="J39" i="9"/>
  <c r="J28" i="9"/>
  <c r="J35" i="9"/>
  <c r="J23" i="9"/>
  <c r="J50" i="9"/>
  <c r="C10" i="10"/>
  <c r="G10" i="9"/>
  <c r="J48" i="9"/>
  <c r="J21" i="9"/>
  <c r="B4" i="11"/>
  <c r="B15" i="10"/>
  <c r="J55" i="9"/>
  <c r="E10" i="10"/>
  <c r="E11" i="10" s="1"/>
  <c r="F5" i="10"/>
  <c r="E7" i="10"/>
  <c r="D10" i="10"/>
  <c r="D7" i="10"/>
  <c r="H10" i="9"/>
  <c r="J29" i="9"/>
  <c r="J37" i="9"/>
  <c r="J40" i="9"/>
  <c r="J17" i="9"/>
  <c r="J20" i="9"/>
  <c r="J42" i="9"/>
  <c r="F6" i="10"/>
  <c r="E13" i="10"/>
  <c r="E15" i="10" s="1"/>
  <c r="I11" i="9" s="1"/>
  <c r="I45" i="9" s="1"/>
  <c r="J38" i="9"/>
  <c r="J16" i="9"/>
  <c r="H34" i="9"/>
  <c r="H52" i="9" s="1"/>
  <c r="F33" i="9"/>
  <c r="J34" i="9"/>
  <c r="I33" i="9"/>
  <c r="I53" i="9" s="1"/>
  <c r="G34" i="9"/>
  <c r="G52" i="9" s="1"/>
  <c r="I34" i="9"/>
  <c r="J52" i="9" l="1"/>
  <c r="F52" i="9"/>
  <c r="F11" i="9"/>
  <c r="F45" i="9" s="1"/>
  <c r="F53" i="9" s="1"/>
  <c r="F7" i="10"/>
  <c r="J10" i="9"/>
  <c r="F10" i="10"/>
  <c r="F11" i="10" s="1"/>
  <c r="D11" i="10"/>
  <c r="D13" i="10"/>
  <c r="C11" i="10"/>
  <c r="C13" i="10" s="1"/>
  <c r="C15" i="10" s="1"/>
  <c r="I52" i="9"/>
  <c r="I56" i="9" s="1"/>
  <c r="E22" i="10" s="1"/>
  <c r="E25" i="10" s="1"/>
  <c r="F56" i="9" l="1"/>
  <c r="B22" i="10" s="1"/>
  <c r="B25" i="10" s="1"/>
  <c r="G11" i="9"/>
  <c r="G45" i="9" s="1"/>
  <c r="D15" i="10"/>
  <c r="H11" i="9" s="1"/>
  <c r="H45" i="9" s="1"/>
  <c r="D4" i="11"/>
  <c r="F13" i="10"/>
  <c r="F15" i="10" s="1"/>
  <c r="J11" i="9" s="1"/>
  <c r="J45" i="9" s="1"/>
  <c r="J53" i="9" l="1"/>
  <c r="J56" i="9" s="1"/>
  <c r="F22" i="10" s="1"/>
  <c r="F25" i="10" s="1"/>
  <c r="C4" i="11"/>
  <c r="G53" i="9"/>
  <c r="G56" i="9" s="1"/>
  <c r="H53" i="9"/>
  <c r="H56" i="9" s="1"/>
  <c r="D22" i="10" s="1"/>
  <c r="D25" i="10" s="1"/>
  <c r="C22" i="10" l="1"/>
  <c r="C25" i="10" s="1"/>
  <c r="B5" i="11"/>
  <c r="C6" i="11" l="1"/>
  <c r="D6" i="11"/>
  <c r="B6" i="11"/>
</calcChain>
</file>

<file path=xl/sharedStrings.xml><?xml version="1.0" encoding="utf-8"?>
<sst xmlns="http://schemas.openxmlformats.org/spreadsheetml/2006/main" count="367" uniqueCount="203">
  <si>
    <t>POP electricity</t>
  </si>
  <si>
    <t>Accountant</t>
  </si>
  <si>
    <t>Legal</t>
  </si>
  <si>
    <t>Contingency</t>
  </si>
  <si>
    <t>County</t>
  </si>
  <si>
    <t>Municipality</t>
  </si>
  <si>
    <t>Maintenance Responsibility</t>
  </si>
  <si>
    <t>Power Distribution Provider
(Service Area)</t>
  </si>
  <si>
    <t>Estimated Number of Poles</t>
  </si>
  <si>
    <t>Estimated Route Miles for Existing Poles per town</t>
  </si>
  <si>
    <t>BERKSHIRE</t>
  </si>
  <si>
    <t>ALFORD</t>
  </si>
  <si>
    <t>NGRID</t>
  </si>
  <si>
    <t>NGrid - MassElectric (Baystate West)</t>
  </si>
  <si>
    <t>FRANKLIN</t>
  </si>
  <si>
    <t>ASHFIELD</t>
  </si>
  <si>
    <t>VZ</t>
  </si>
  <si>
    <t>Eversource Energy (Northern Division)</t>
  </si>
  <si>
    <t>BECKET</t>
  </si>
  <si>
    <t>EVERSOURCE</t>
  </si>
  <si>
    <t>HAMPDEN</t>
  </si>
  <si>
    <t>BLANDFORD</t>
  </si>
  <si>
    <t>SPLIT</t>
  </si>
  <si>
    <t>CHARLEMONT</t>
  </si>
  <si>
    <t>HAMPSHIRE</t>
  </si>
  <si>
    <t>CHESTERFIELD</t>
  </si>
  <si>
    <t>COLRAIN</t>
  </si>
  <si>
    <t>CUMMINGTON</t>
  </si>
  <si>
    <t>EGREMONT</t>
  </si>
  <si>
    <t>FLORIDA</t>
  </si>
  <si>
    <t>GOSHEN</t>
  </si>
  <si>
    <t>HANCOCK</t>
  </si>
  <si>
    <t>Eversource (Northern Division)/Ngrid (Baystate West)</t>
  </si>
  <si>
    <t>HAWLEY</t>
  </si>
  <si>
    <t>HEATH</t>
  </si>
  <si>
    <t>HINSDALE</t>
  </si>
  <si>
    <t>LANESBOROUGH</t>
  </si>
  <si>
    <t>LEYDEN</t>
  </si>
  <si>
    <t>MIDDLEFIELD</t>
  </si>
  <si>
    <t>MONROE</t>
  </si>
  <si>
    <t>MONTEREY</t>
  </si>
  <si>
    <t>MONTGOMERY</t>
  </si>
  <si>
    <t>MOUNT WASHINGTON</t>
  </si>
  <si>
    <t>NEW ASHFORD</t>
  </si>
  <si>
    <t>WORCESTER</t>
  </si>
  <si>
    <t>NEW BRAINTREE</t>
  </si>
  <si>
    <t>NEW MARLBOROUGH</t>
  </si>
  <si>
    <t>NEW SALEM</t>
  </si>
  <si>
    <t>OTIS</t>
  </si>
  <si>
    <t>PERU</t>
  </si>
  <si>
    <t>PETERSHAM</t>
  </si>
  <si>
    <t>PLAINFIELD</t>
  </si>
  <si>
    <t>PRINCETON</t>
  </si>
  <si>
    <t>PRINCETON MUNICIPAL</t>
  </si>
  <si>
    <t>Princeton Municipal Light Department</t>
  </si>
  <si>
    <t>ROWE</t>
  </si>
  <si>
    <t>ROYALSTON</t>
  </si>
  <si>
    <t>SANDISFIELD</t>
  </si>
  <si>
    <t>SAVOY</t>
  </si>
  <si>
    <t>SHUTESBURY</t>
  </si>
  <si>
    <t>TOLLAND</t>
  </si>
  <si>
    <t>TYRINGHAM</t>
  </si>
  <si>
    <t>WARWICK</t>
  </si>
  <si>
    <t>WASHINGTON</t>
  </si>
  <si>
    <t>WENDELL</t>
  </si>
  <si>
    <t>WEST STOCKBRIDGE</t>
  </si>
  <si>
    <t>WINDSOR</t>
  </si>
  <si>
    <t>WORTHINGTON</t>
  </si>
  <si>
    <t>TOTALS</t>
  </si>
  <si>
    <t>Pole Bonding Fees</t>
  </si>
  <si>
    <t>Manager, Bookkeeper, Secretary, Town Treasurer</t>
  </si>
  <si>
    <t>Website</t>
  </si>
  <si>
    <t>Regulatory/Inspection/Other</t>
  </si>
  <si>
    <t>Pole Rental Fee</t>
  </si>
  <si>
    <t>Utilities Telecom Council (UTC) membership</t>
  </si>
  <si>
    <t>Fixed</t>
  </si>
  <si>
    <t>Variable</t>
  </si>
  <si>
    <t>Semi-Fixed</t>
  </si>
  <si>
    <t>Seasonal Premises (%)</t>
  </si>
  <si>
    <t>Avg. Monthly Occupancy Seasonal Premises</t>
  </si>
  <si>
    <t>Seasonal Premises</t>
  </si>
  <si>
    <t>Effective Premises (12 months of seasonal)</t>
  </si>
  <si>
    <t>Total Addressable Market Size</t>
  </si>
  <si>
    <t>Subscribers</t>
  </si>
  <si>
    <t>Year 1</t>
  </si>
  <si>
    <t>Year 5</t>
  </si>
  <si>
    <t>Total Cost</t>
  </si>
  <si>
    <t>Expense Category</t>
  </si>
  <si>
    <t>Electronics Depreciation (7 yrs. useful life)</t>
  </si>
  <si>
    <t>Insurance</t>
  </si>
  <si>
    <t>Fiber plant Depreciation (20 yrs. useful life)</t>
  </si>
  <si>
    <t>Billing/Invoicing Administration Fee (Recovering MLP Cost/Subscriber)</t>
  </si>
  <si>
    <t>Sustainability Model For the Town of</t>
  </si>
  <si>
    <t>Utility Pole Rental</t>
  </si>
  <si>
    <t>Unit Basis</t>
  </si>
  <si>
    <t>Route Miles</t>
  </si>
  <si>
    <t>Poles</t>
  </si>
  <si>
    <t>Year 2</t>
  </si>
  <si>
    <t>Year 3</t>
  </si>
  <si>
    <t>Year 4</t>
  </si>
  <si>
    <t>General Information</t>
  </si>
  <si>
    <t>Effective Subscribers</t>
  </si>
  <si>
    <t>MLP</t>
  </si>
  <si>
    <t>Internet Related</t>
  </si>
  <si>
    <t>Monthly Per Subscriber</t>
  </si>
  <si>
    <t>Total MLP Operating Expenses/ yr.</t>
  </si>
  <si>
    <t>Expense Item</t>
  </si>
  <si>
    <t>&lt;&lt;-- Use drop down to select town</t>
  </si>
  <si>
    <t>Annual Cost Factor</t>
  </si>
  <si>
    <r>
      <t xml:space="preserve">Notes
</t>
    </r>
    <r>
      <rPr>
        <b/>
        <sz val="9"/>
        <color theme="1"/>
        <rFont val="Calibri"/>
        <family val="2"/>
        <scheme val="minor"/>
      </rPr>
      <t>(provide information about your determination of costs (quote from vendor, conversation with vendor, Discussion with Leverett, etc)</t>
    </r>
  </si>
  <si>
    <t>Annual # Units</t>
  </si>
  <si>
    <t>Updated Town  Premise #</t>
  </si>
  <si>
    <t>% drops</t>
  </si>
  <si>
    <t>Estimated Premise Count</t>
  </si>
  <si>
    <t>Estimated Unit Count</t>
  </si>
  <si>
    <t>Updated Town  Unit #</t>
  </si>
  <si>
    <t># premises</t>
  </si>
  <si>
    <t>Calculated premises to be served</t>
  </si>
  <si>
    <t># units</t>
  </si>
  <si>
    <t># premises with drops</t>
  </si>
  <si>
    <t>&lt;&lt;-- Enter the % of premises that will be reached with build</t>
  </si>
  <si>
    <t>&lt;&lt;-- Enter the # of premises considered seasonal</t>
  </si>
  <si>
    <t>Data is pulled from town data tab, can be updated if required</t>
  </si>
  <si>
    <t>&lt;&lt;-- Enter the # of months a seasonal resident occupies that residence</t>
  </si>
  <si>
    <t>Calculated based on # premises, % seasonal</t>
  </si>
  <si>
    <t>Calculated based on # premises, % seasonal, # of months occupied</t>
  </si>
  <si>
    <t>Calculated factoring % drops and seasonal market</t>
  </si>
  <si>
    <t xml:space="preserve">&lt;&lt;-- Enter the "Take Rate" you anticipate. </t>
  </si>
  <si>
    <t>Calculated based on addressable market and take rate</t>
  </si>
  <si>
    <t>&lt;&lt;-- Enter estimate for annual cost increases</t>
  </si>
  <si>
    <t>Annual</t>
  </si>
  <si>
    <t>Total Project</t>
  </si>
  <si>
    <t>Prof Fee Allocation</t>
  </si>
  <si>
    <t>Construction Allocation</t>
  </si>
  <si>
    <t>Est Make Ready</t>
  </si>
  <si>
    <t>Estimated Construction Cost</t>
  </si>
  <si>
    <t>Town Portion</t>
  </si>
  <si>
    <t>Annual inflation rate%</t>
  </si>
  <si>
    <t>Construction Estimate</t>
  </si>
  <si>
    <t>Make Ready Estimate</t>
  </si>
  <si>
    <t>Depreciation Reserve Basis</t>
  </si>
  <si>
    <t>% of depreciation Reserve for Fiber Plant</t>
  </si>
  <si>
    <t>% of depreciation Reserve for Equipment</t>
  </si>
  <si>
    <t>MLP Administrative Costs</t>
  </si>
  <si>
    <t>see above</t>
  </si>
  <si>
    <t>Plant</t>
  </si>
  <si>
    <t>Other Expenses</t>
  </si>
  <si>
    <t>Esimated Operating Costs for Network</t>
  </si>
  <si>
    <t>Homes Passed</t>
  </si>
  <si>
    <t>See above</t>
  </si>
  <si>
    <t>Homes passed</t>
  </si>
  <si>
    <t>Calculated based on total expense projections/#subscribers</t>
  </si>
  <si>
    <t>&lt;&lt;-- Enter your ISP cost assumption</t>
  </si>
  <si>
    <t>&lt;&lt;-- Enter your phone cost assumption</t>
  </si>
  <si>
    <t>Low</t>
  </si>
  <si>
    <t>High</t>
  </si>
  <si>
    <t>#marketable rate</t>
  </si>
  <si>
    <t># subscribers</t>
  </si>
  <si>
    <t>ISP</t>
  </si>
  <si>
    <t>Phone</t>
  </si>
  <si>
    <t>Average MLP Costs</t>
  </si>
  <si>
    <t>per analysis</t>
  </si>
  <si>
    <t>Above chart represents an the costs of an average take rate per the analysis in with workbook (middle column) and what the impact would be if take rate is 10% lower or higher.</t>
  </si>
  <si>
    <t>Network Operator</t>
  </si>
  <si>
    <t>Fixed Fee</t>
  </si>
  <si>
    <t>Projected Take Rate</t>
  </si>
  <si>
    <t>Phone Related</t>
  </si>
  <si>
    <t>The monthly breakeven cost - amount to charge subscriber</t>
  </si>
  <si>
    <t>Insurance Membership dues</t>
  </si>
  <si>
    <t>General Liability Insurance</t>
  </si>
  <si>
    <t>Excess Liability Insurance</t>
  </si>
  <si>
    <t>Public Officials Liability</t>
  </si>
  <si>
    <t>Property Insurance</t>
  </si>
  <si>
    <t>Other Operator/ISP fees</t>
  </si>
  <si>
    <t>Operating Cost</t>
  </si>
  <si>
    <t>Based On Operating Cost</t>
  </si>
  <si>
    <t>Based on Cost of Plant</t>
  </si>
  <si>
    <t>Cost of Plant</t>
  </si>
  <si>
    <t>This workbook focuses on the costs to administer the MLP, own the network and deliver service to a subscriber and does not contemplate recovery of debt service at this time.</t>
  </si>
  <si>
    <t>Calculated if town modifies premises</t>
  </si>
  <si>
    <t>Calculated if town modifies units</t>
  </si>
  <si>
    <t>&lt;&lt;-- If town has modified premise or unit costs, enter source of updated info</t>
  </si>
  <si>
    <t>This workbook is intended to be a working document that is refined over the course of the project in order for the town and MBI to develop a better understanding of estimated costs associated with owning and operating the broadband network, how those costs will be allocated to a subscriber, and the impact of take rates and changing costs to a subscriber.</t>
  </si>
  <si>
    <t xml:space="preserve"> MBI will assist in these modeling efforts by providing information about industry averages and other projects.  However, It will be the responsibility of the town to determine appropriate estimates for each expense. 
We welcome feedback on improvements to make the tool more user friendly and helpful to the towns.</t>
  </si>
  <si>
    <t>Operations and Maintenance</t>
  </si>
  <si>
    <t>Vendor Electronic Maintenance</t>
  </si>
  <si>
    <t>Sparing</t>
  </si>
  <si>
    <t>Marketing</t>
  </si>
  <si>
    <t>Take Rate Basis</t>
  </si>
  <si>
    <t>&lt;&lt;-- Provide information about how you are determining your take rate.  If based on survey provide general information about price specifics provided in the survey</t>
  </si>
  <si>
    <t xml:space="preserve">Rowe will cover depreciation reserve by including assets in our Capital Plan paid for by taxpayers, so this expense will not be paid out of subscription income. </t>
  </si>
  <si>
    <t>same as above</t>
  </si>
  <si>
    <t>bandwidth</t>
  </si>
  <si>
    <t>fixed</t>
  </si>
  <si>
    <t xml:space="preserve">Town votes for debt authorization and debt exclusion were near unanimous.
50% pre-signup rate with $49 deposit for WiredWest's plan.  </t>
  </si>
  <si>
    <t>Considering MIIA with no membership dues</t>
  </si>
  <si>
    <t>Based on Leverett's model</t>
  </si>
  <si>
    <t>Based on Leverett's model.  We would expect this to be significantly less as part of a COOP</t>
  </si>
  <si>
    <t>Based on requirements from the utilities</t>
  </si>
  <si>
    <t>Based on MBI recommendation.  We would expect this to be significantly less as part of a COOP</t>
  </si>
  <si>
    <t>Based on Axia pricing for 1Gbps.  We would expect this to be significantly less as part of a COOP</t>
  </si>
  <si>
    <t>Based on MBI recommendation.</t>
  </si>
  <si>
    <t>Chosen to increase contingency with the lack of depreciation reserve included in the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</si>
</sst>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17"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sz val="26"/>
      <color theme="1"/>
      <name val="Calibri"/>
      <family val="2"/>
      <scheme val="minor"/>
    </font>
    <font>
      <b/>
      <sz val="10"/>
      <color rgb="FF000000"/>
      <name val="Arial"/>
      <family val="2"/>
    </font>
    <font>
      <sz val="10"/>
      <color rgb="FF000000"/>
      <name val="Arial"/>
      <family val="2"/>
    </font>
    <font>
      <b/>
      <sz val="12"/>
      <color theme="1"/>
      <name val="Calibri"/>
      <family val="2"/>
      <scheme val="minor"/>
    </font>
    <font>
      <sz val="11"/>
      <name val="Calibri"/>
      <family val="2"/>
      <scheme val="minor"/>
    </font>
    <font>
      <sz val="11"/>
      <color rgb="FF3F3F76"/>
      <name val="Calibri"/>
      <family val="2"/>
      <scheme val="minor"/>
    </font>
    <font>
      <b/>
      <sz val="9"/>
      <color theme="1"/>
      <name val="Calibri"/>
      <family val="2"/>
      <scheme val="minor"/>
    </font>
    <font>
      <sz val="11"/>
      <color theme="0"/>
      <name val="Calibri"/>
      <family val="2"/>
      <scheme val="minor"/>
    </font>
    <font>
      <i/>
      <sz val="11"/>
      <color rgb="FFFF0000"/>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C99"/>
      </patternFill>
    </fill>
    <fill>
      <patternFill patternType="solid">
        <fgColor rgb="FFFFFFCC"/>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right/>
      <top/>
      <bottom style="double">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diagonal/>
    </border>
    <border>
      <left/>
      <right/>
      <top style="thin">
        <color auto="1"/>
      </top>
      <bottom style="double">
        <color auto="1"/>
      </bottom>
      <diagonal/>
    </border>
    <border>
      <left/>
      <right/>
      <top style="thin">
        <color rgb="FFB2B2B2"/>
      </top>
      <bottom/>
      <diagonal/>
    </border>
    <border>
      <left style="thin">
        <color auto="1"/>
      </left>
      <right/>
      <top/>
      <bottom style="medium">
        <color auto="1"/>
      </bottom>
      <diagonal/>
    </border>
    <border>
      <left/>
      <right style="thin">
        <color rgb="FF7F7F7F"/>
      </right>
      <top/>
      <bottom style="medium">
        <color auto="1"/>
      </bottom>
      <diagonal/>
    </border>
    <border>
      <left style="thin">
        <color auto="1"/>
      </left>
      <right/>
      <top/>
      <bottom/>
      <diagonal/>
    </border>
    <border>
      <left/>
      <right style="thin">
        <color rgb="FF7F7F7F"/>
      </right>
      <top/>
      <bottom/>
      <diagonal/>
    </border>
    <border>
      <left/>
      <right/>
      <top style="medium">
        <color auto="1"/>
      </top>
      <bottom style="thin">
        <color auto="1"/>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0" fillId="6" borderId="30" applyNumberFormat="0" applyAlignment="0" applyProtection="0"/>
    <xf numFmtId="0" fontId="3" fillId="7" borderId="3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07">
    <xf numFmtId="0" fontId="0" fillId="0" borderId="0" xfId="0"/>
    <xf numFmtId="0" fontId="0" fillId="0" borderId="0" xfId="0" applyAlignment="1">
      <alignment wrapText="1"/>
    </xf>
    <xf numFmtId="0" fontId="5" fillId="0" borderId="0" xfId="0" applyFont="1" applyAlignment="1"/>
    <xf numFmtId="0" fontId="5" fillId="0" borderId="0" xfId="0" applyFont="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8" xfId="0" applyFont="1" applyBorder="1" applyAlignment="1">
      <alignment horizontal="right" vertical="center" wrapText="1"/>
    </xf>
    <xf numFmtId="0" fontId="6" fillId="0" borderId="19"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0" fillId="0" borderId="0" xfId="0" applyFill="1"/>
    <xf numFmtId="0" fontId="0" fillId="0" borderId="0" xfId="0" applyFill="1" applyBorder="1" applyAlignment="1">
      <alignment wrapText="1"/>
    </xf>
    <xf numFmtId="0" fontId="1" fillId="4" borderId="3" xfId="0" applyFont="1" applyFill="1" applyBorder="1" applyAlignment="1">
      <alignment horizontal="center" wrapText="1"/>
    </xf>
    <xf numFmtId="0" fontId="1" fillId="0" borderId="0" xfId="0" applyFont="1" applyFill="1" applyBorder="1" applyAlignment="1">
      <alignment wrapText="1"/>
    </xf>
    <xf numFmtId="0" fontId="0" fillId="0" borderId="27" xfId="0" applyFill="1" applyBorder="1" applyAlignment="1">
      <alignment horizontal="left" wrapText="1"/>
    </xf>
    <xf numFmtId="0" fontId="0" fillId="0" borderId="0" xfId="0" applyFill="1" applyBorder="1" applyAlignment="1">
      <alignment horizontal="left" wrapText="1"/>
    </xf>
    <xf numFmtId="44" fontId="0" fillId="0" borderId="1" xfId="2" applyFont="1" applyBorder="1"/>
    <xf numFmtId="0" fontId="1" fillId="0" borderId="0" xfId="0" applyFont="1" applyBorder="1" applyAlignment="1"/>
    <xf numFmtId="44" fontId="0" fillId="0" borderId="6" xfId="2" applyFont="1" applyBorder="1"/>
    <xf numFmtId="44" fontId="0" fillId="0" borderId="13" xfId="2" applyFont="1" applyBorder="1"/>
    <xf numFmtId="0" fontId="1" fillId="0" borderId="0" xfId="0" applyFont="1" applyFill="1" applyBorder="1"/>
    <xf numFmtId="0" fontId="1" fillId="0" borderId="0" xfId="0" applyFont="1" applyAlignment="1">
      <alignment horizontal="center" wrapText="1"/>
    </xf>
    <xf numFmtId="0" fontId="0" fillId="0" borderId="0" xfId="0" applyFill="1" applyAlignment="1">
      <alignment horizontal="left" indent="1"/>
    </xf>
    <xf numFmtId="0" fontId="0" fillId="0" borderId="0" xfId="0" applyFont="1" applyFill="1" applyBorder="1" applyAlignment="1">
      <alignment horizontal="left" indent="1"/>
    </xf>
    <xf numFmtId="43" fontId="1" fillId="0" borderId="33" xfId="1" applyFont="1" applyBorder="1"/>
    <xf numFmtId="164" fontId="0" fillId="0" borderId="21" xfId="0" applyNumberFormat="1" applyBorder="1"/>
    <xf numFmtId="0" fontId="0" fillId="8" borderId="0" xfId="0" applyFill="1"/>
    <xf numFmtId="166" fontId="0" fillId="8" borderId="0" xfId="1" applyNumberFormat="1" applyFont="1" applyFill="1"/>
    <xf numFmtId="0" fontId="10" fillId="6" borderId="30" xfId="4"/>
    <xf numFmtId="0" fontId="6" fillId="3" borderId="3" xfId="0" applyFont="1" applyFill="1" applyBorder="1" applyAlignment="1">
      <alignment horizontal="center" vertical="center" wrapText="1"/>
    </xf>
    <xf numFmtId="0" fontId="0" fillId="7" borderId="34" xfId="5" applyFont="1" applyBorder="1" applyAlignment="1">
      <alignment vertical="center" wrapText="1"/>
    </xf>
    <xf numFmtId="0" fontId="0" fillId="7" borderId="0" xfId="5" applyFont="1" applyBorder="1" applyAlignment="1">
      <alignment vertical="center" wrapText="1"/>
    </xf>
    <xf numFmtId="0" fontId="0" fillId="9" borderId="0" xfId="0" applyFill="1"/>
    <xf numFmtId="166" fontId="0" fillId="9" borderId="0" xfId="1" applyNumberFormat="1" applyFont="1" applyFill="1"/>
    <xf numFmtId="9" fontId="0" fillId="0" borderId="0" xfId="3" applyFont="1" applyProtection="1">
      <protection locked="0"/>
    </xf>
    <xf numFmtId="0" fontId="0" fillId="0" borderId="0" xfId="0" applyFill="1" applyProtection="1">
      <protection locked="0"/>
    </xf>
    <xf numFmtId="9" fontId="0" fillId="0" borderId="0" xfId="0" applyNumberFormat="1" applyProtection="1">
      <protection locked="0"/>
    </xf>
    <xf numFmtId="166" fontId="7" fillId="5" borderId="7" xfId="1" applyNumberFormat="1" applyFont="1" applyFill="1" applyBorder="1" applyAlignment="1">
      <alignment horizontal="center" vertical="center" wrapText="1"/>
    </xf>
    <xf numFmtId="166" fontId="7" fillId="5" borderId="10" xfId="1" applyNumberFormat="1" applyFont="1" applyFill="1" applyBorder="1" applyAlignment="1">
      <alignment horizontal="center" vertical="center" wrapText="1"/>
    </xf>
    <xf numFmtId="166" fontId="7" fillId="5" borderId="14" xfId="1" applyNumberFormat="1" applyFont="1" applyFill="1" applyBorder="1" applyAlignment="1">
      <alignment horizontal="center" vertical="center" wrapText="1"/>
    </xf>
    <xf numFmtId="166" fontId="6" fillId="0" borderId="19" xfId="1" applyNumberFormat="1" applyFont="1" applyBorder="1" applyAlignment="1">
      <alignment horizontal="center" vertical="center" wrapText="1"/>
    </xf>
    <xf numFmtId="166" fontId="0" fillId="8" borderId="0" xfId="0" applyNumberFormat="1" applyFill="1"/>
    <xf numFmtId="165" fontId="0" fillId="2" borderId="1" xfId="0" applyNumberFormat="1" applyFill="1" applyBorder="1" applyAlignment="1" applyProtection="1">
      <alignment vertical="top" wrapText="1"/>
      <protection locked="0"/>
    </xf>
    <xf numFmtId="1" fontId="0" fillId="2" borderId="1" xfId="0" applyNumberFormat="1" applyFill="1" applyBorder="1" applyAlignment="1" applyProtection="1">
      <alignment horizontal="center" vertical="top" wrapText="1"/>
      <protection locked="0"/>
    </xf>
    <xf numFmtId="165" fontId="0" fillId="0" borderId="1" xfId="0" applyNumberForma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7" fillId="0" borderId="7" xfId="0" applyFont="1" applyFill="1" applyBorder="1" applyAlignment="1" applyProtection="1">
      <alignment horizontal="center" vertical="center" wrapText="1"/>
      <protection locked="0"/>
    </xf>
    <xf numFmtId="166" fontId="0" fillId="0" borderId="1" xfId="1" applyNumberFormat="1" applyFont="1" applyFill="1" applyBorder="1" applyAlignment="1" applyProtection="1">
      <alignment vertical="top" wrapText="1"/>
      <protection locked="0"/>
    </xf>
    <xf numFmtId="1" fontId="0" fillId="10" borderId="1" xfId="0" applyNumberFormat="1" applyFill="1" applyBorder="1" applyAlignment="1" applyProtection="1">
      <alignment horizontal="center" vertical="top" wrapText="1"/>
      <protection locked="0"/>
    </xf>
    <xf numFmtId="9" fontId="0" fillId="0" borderId="0" xfId="0" applyNumberFormat="1"/>
    <xf numFmtId="1" fontId="0" fillId="0" borderId="0" xfId="0" applyNumberFormat="1"/>
    <xf numFmtId="166" fontId="0" fillId="0" borderId="0" xfId="1" applyNumberFormat="1" applyFont="1"/>
    <xf numFmtId="43" fontId="0" fillId="0" borderId="0" xfId="1" applyNumberFormat="1" applyFont="1"/>
    <xf numFmtId="43" fontId="0" fillId="0" borderId="0" xfId="0" applyNumberFormat="1"/>
    <xf numFmtId="43" fontId="0" fillId="10" borderId="0" xfId="1" applyFont="1" applyFill="1"/>
    <xf numFmtId="43" fontId="0" fillId="0" borderId="0" xfId="1" applyFont="1" applyProtection="1">
      <protection locked="0"/>
    </xf>
    <xf numFmtId="9" fontId="0" fillId="2" borderId="1" xfId="3" applyFont="1" applyFill="1" applyBorder="1" applyAlignment="1" applyProtection="1">
      <alignment horizontal="center" vertical="top" wrapText="1"/>
      <protection locked="0"/>
    </xf>
    <xf numFmtId="0" fontId="12" fillId="0" borderId="0" xfId="0" applyFont="1" applyFill="1"/>
    <xf numFmtId="0" fontId="13" fillId="0" borderId="0" xfId="0" applyFont="1" applyFill="1" applyAlignment="1">
      <alignment horizontal="left" indent="1"/>
    </xf>
    <xf numFmtId="9" fontId="0" fillId="0" borderId="6" xfId="3" applyFont="1" applyFill="1" applyBorder="1" applyAlignment="1" applyProtection="1">
      <alignment vertical="top" wrapText="1"/>
      <protection locked="0"/>
    </xf>
    <xf numFmtId="0" fontId="0" fillId="0" borderId="1" xfId="0" applyFill="1" applyBorder="1" applyAlignment="1" applyProtection="1">
      <alignment horizontal="center" vertical="top" wrapText="1"/>
      <protection locked="0"/>
    </xf>
    <xf numFmtId="166" fontId="0" fillId="10" borderId="1" xfId="1" applyNumberFormat="1"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166" fontId="0" fillId="10" borderId="22" xfId="1" applyNumberFormat="1"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165" fontId="0" fillId="10" borderId="1" xfId="0" applyNumberFormat="1" applyFill="1"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166" fontId="0" fillId="10" borderId="1" xfId="1" applyNumberFormat="1"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9" fontId="0" fillId="8" borderId="0" xfId="3" applyFont="1" applyFill="1" applyProtection="1">
      <protection locked="0"/>
    </xf>
    <xf numFmtId="0" fontId="0" fillId="0" borderId="0" xfId="0" applyFill="1" applyAlignment="1">
      <alignment horizontal="left" vertical="top" indent="1"/>
    </xf>
    <xf numFmtId="0" fontId="10" fillId="6" borderId="30" xfId="4" applyAlignment="1">
      <alignment vertical="top" wrapText="1"/>
    </xf>
    <xf numFmtId="0" fontId="0" fillId="0" borderId="0" xfId="0" applyAlignment="1">
      <alignment horizontal="left" vertical="top"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0" xfId="0" applyFont="1" applyAlignment="1">
      <alignment horizontal="center"/>
    </xf>
    <xf numFmtId="0" fontId="0" fillId="5" borderId="0" xfId="0" applyFill="1" applyAlignment="1" applyProtection="1">
      <alignment horizontal="center"/>
      <protection locked="0"/>
    </xf>
    <xf numFmtId="166" fontId="0" fillId="0" borderId="0" xfId="1" applyNumberFormat="1" applyFont="1" applyFill="1" applyAlignment="1" applyProtection="1">
      <alignment horizontal="left" vertical="top" wrapText="1"/>
      <protection locked="0"/>
    </xf>
    <xf numFmtId="0" fontId="1" fillId="5" borderId="37"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38" xfId="0" applyFont="1" applyFill="1" applyBorder="1" applyAlignment="1">
      <alignment horizontal="left" vertical="top" wrapText="1"/>
    </xf>
    <xf numFmtId="0" fontId="0" fillId="0" borderId="39" xfId="0" applyFill="1" applyBorder="1" applyAlignment="1">
      <alignment horizontal="left" vertical="top" wrapText="1"/>
    </xf>
    <xf numFmtId="0" fontId="0" fillId="0" borderId="29" xfId="0" applyFill="1" applyBorder="1" applyAlignment="1">
      <alignment horizontal="left" vertical="top" wrapText="1"/>
    </xf>
    <xf numFmtId="0" fontId="8" fillId="0" borderId="0" xfId="0" applyFont="1" applyAlignment="1">
      <alignment horizontal="center"/>
    </xf>
    <xf numFmtId="0" fontId="1" fillId="5" borderId="35" xfId="0" applyFont="1" applyFill="1" applyBorder="1" applyAlignment="1">
      <alignment horizontal="left" vertical="top" wrapText="1"/>
    </xf>
    <xf numFmtId="0" fontId="1" fillId="5" borderId="17" xfId="0" applyFont="1" applyFill="1" applyBorder="1" applyAlignment="1">
      <alignment horizontal="left" vertical="top" wrapText="1"/>
    </xf>
    <xf numFmtId="0" fontId="1" fillId="5" borderId="36" xfId="0" applyFont="1" applyFill="1" applyBorder="1" applyAlignment="1">
      <alignment horizontal="left" vertical="top" wrapText="1"/>
    </xf>
    <xf numFmtId="0" fontId="0" fillId="0" borderId="0" xfId="0" applyAlignment="1">
      <alignment horizontal="left" wrapText="1"/>
    </xf>
    <xf numFmtId="0" fontId="1" fillId="5" borderId="32"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9" fillId="0" borderId="1" xfId="0" applyFont="1" applyFill="1" applyBorder="1" applyAlignment="1" applyProtection="1">
      <alignment vertical="top" wrapText="1"/>
      <protection locked="0"/>
    </xf>
  </cellXfs>
  <cellStyles count="10">
    <cellStyle name="Comma" xfId="1" builtinId="3"/>
    <cellStyle name="Currency" xfId="2" builtinId="4"/>
    <cellStyle name="Followed Hyperlink" xfId="7" builtinId="9" hidden="1"/>
    <cellStyle name="Followed Hyperlink" xfId="9" builtinId="9" hidden="1"/>
    <cellStyle name="Hyperlink" xfId="6" builtinId="8" hidden="1"/>
    <cellStyle name="Hyperlink" xfId="8" builtinId="8" hidden="1"/>
    <cellStyle name="Input" xfId="4" builtinId="20"/>
    <cellStyle name="Normal" xfId="0" builtinId="0"/>
    <cellStyle name="Note" xfId="5" builtin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Fee per Subscriber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SUMMARY!$A$23</c:f>
              <c:strCache>
                <c:ptCount val="1"/>
                <c:pt idx="0">
                  <c:v>Internet Related</c:v>
                </c:pt>
              </c:strCache>
            </c:strRef>
          </c:tx>
          <c:spPr>
            <a:solidFill>
              <a:schemeClr val="accent1"/>
            </a:solidFill>
            <a:ln>
              <a:noFill/>
            </a:ln>
            <a:effectLst/>
          </c:spPr>
          <c:invertIfNegative val="0"/>
          <c:cat>
            <c:strRef>
              <c:f>SUMMARY!$B$21:$F$21</c:f>
              <c:strCache>
                <c:ptCount val="5"/>
                <c:pt idx="0">
                  <c:v>Year 1</c:v>
                </c:pt>
                <c:pt idx="1">
                  <c:v>Year 2</c:v>
                </c:pt>
                <c:pt idx="2">
                  <c:v>Year 3</c:v>
                </c:pt>
                <c:pt idx="3">
                  <c:v>Year 4</c:v>
                </c:pt>
                <c:pt idx="4">
                  <c:v>Year 5</c:v>
                </c:pt>
              </c:strCache>
            </c:strRef>
          </c:cat>
          <c:val>
            <c:numRef>
              <c:f>SUMMARY!$B$23:$F$23</c:f>
              <c:numCache>
                <c:formatCode>_(* #,##0.00_);_(* \(#,##0.00\);_(* "-"??_);_(@_)</c:formatCode>
                <c:ptCount val="5"/>
                <c:pt idx="0">
                  <c:v>25</c:v>
                </c:pt>
                <c:pt idx="1">
                  <c:v>25</c:v>
                </c:pt>
                <c:pt idx="2">
                  <c:v>25</c:v>
                </c:pt>
                <c:pt idx="3">
                  <c:v>25</c:v>
                </c:pt>
                <c:pt idx="4">
                  <c:v>25</c:v>
                </c:pt>
              </c:numCache>
            </c:numRef>
          </c:val>
        </c:ser>
        <c:ser>
          <c:idx val="2"/>
          <c:order val="1"/>
          <c:tx>
            <c:strRef>
              <c:f>SUMMARY!$A$24</c:f>
              <c:strCache>
                <c:ptCount val="1"/>
                <c:pt idx="0">
                  <c:v>Phone Related</c:v>
                </c:pt>
              </c:strCache>
            </c:strRef>
          </c:tx>
          <c:spPr>
            <a:solidFill>
              <a:schemeClr val="accent1">
                <a:tint val="65000"/>
              </a:schemeClr>
            </a:solidFill>
            <a:ln>
              <a:noFill/>
            </a:ln>
            <a:effectLst/>
          </c:spPr>
          <c:invertIfNegative val="0"/>
          <c:cat>
            <c:strRef>
              <c:f>SUMMARY!$B$21:$F$21</c:f>
              <c:strCache>
                <c:ptCount val="5"/>
                <c:pt idx="0">
                  <c:v>Year 1</c:v>
                </c:pt>
                <c:pt idx="1">
                  <c:v>Year 2</c:v>
                </c:pt>
                <c:pt idx="2">
                  <c:v>Year 3</c:v>
                </c:pt>
                <c:pt idx="3">
                  <c:v>Year 4</c:v>
                </c:pt>
                <c:pt idx="4">
                  <c:v>Year 5</c:v>
                </c:pt>
              </c:strCache>
            </c:strRef>
          </c:cat>
          <c:val>
            <c:numRef>
              <c:f>SUMMARY!$B$24:$F$24</c:f>
              <c:numCache>
                <c:formatCode>_(* #,##0.00_);_(* \(#,##0.00\);_(* "-"??_);_(@_)</c:formatCode>
                <c:ptCount val="5"/>
                <c:pt idx="0">
                  <c:v>20</c:v>
                </c:pt>
                <c:pt idx="1">
                  <c:v>20</c:v>
                </c:pt>
                <c:pt idx="2">
                  <c:v>20</c:v>
                </c:pt>
                <c:pt idx="3">
                  <c:v>20</c:v>
                </c:pt>
                <c:pt idx="4">
                  <c:v>20</c:v>
                </c:pt>
              </c:numCache>
            </c:numRef>
          </c:val>
        </c:ser>
        <c:ser>
          <c:idx val="0"/>
          <c:order val="2"/>
          <c:tx>
            <c:strRef>
              <c:f>SUMMARY!$A$22</c:f>
              <c:strCache>
                <c:ptCount val="1"/>
                <c:pt idx="0">
                  <c:v>MLP</c:v>
                </c:pt>
              </c:strCache>
            </c:strRef>
          </c:tx>
          <c:spPr>
            <a:solidFill>
              <a:schemeClr val="accent1">
                <a:shade val="65000"/>
              </a:schemeClr>
            </a:solidFill>
            <a:ln>
              <a:noFill/>
            </a:ln>
            <a:effectLst/>
          </c:spPr>
          <c:invertIfNegative val="0"/>
          <c:cat>
            <c:strRef>
              <c:f>SUMMARY!$B$21:$F$21</c:f>
              <c:strCache>
                <c:ptCount val="5"/>
                <c:pt idx="0">
                  <c:v>Year 1</c:v>
                </c:pt>
                <c:pt idx="1">
                  <c:v>Year 2</c:v>
                </c:pt>
                <c:pt idx="2">
                  <c:v>Year 3</c:v>
                </c:pt>
                <c:pt idx="3">
                  <c:v>Year 4</c:v>
                </c:pt>
                <c:pt idx="4">
                  <c:v>Year 5</c:v>
                </c:pt>
              </c:strCache>
            </c:strRef>
          </c:cat>
          <c:val>
            <c:numRef>
              <c:f>SUMMARY!$B$22:$F$22</c:f>
              <c:numCache>
                <c:formatCode>_(* #,##0.00_);_(* \(#,##0.00\);_(* "-"??_);_(@_)</c:formatCode>
                <c:ptCount val="5"/>
                <c:pt idx="0">
                  <c:v>44.37</c:v>
                </c:pt>
                <c:pt idx="1">
                  <c:v>43.04</c:v>
                </c:pt>
                <c:pt idx="2">
                  <c:v>41.92</c:v>
                </c:pt>
                <c:pt idx="3">
                  <c:v>43.17</c:v>
                </c:pt>
                <c:pt idx="4">
                  <c:v>44.46</c:v>
                </c:pt>
              </c:numCache>
            </c:numRef>
          </c:val>
        </c:ser>
        <c:dLbls>
          <c:showLegendKey val="0"/>
          <c:showVal val="0"/>
          <c:showCatName val="0"/>
          <c:showSerName val="0"/>
          <c:showPercent val="0"/>
          <c:showBubbleSize val="0"/>
        </c:dLbls>
        <c:gapWidth val="150"/>
        <c:overlap val="100"/>
        <c:axId val="319480656"/>
        <c:axId val="319481048"/>
      </c:barChart>
      <c:catAx>
        <c:axId val="31948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481048"/>
        <c:crosses val="autoZero"/>
        <c:auto val="1"/>
        <c:lblAlgn val="ctr"/>
        <c:lblOffset val="100"/>
        <c:noMultiLvlLbl val="0"/>
      </c:catAx>
      <c:valAx>
        <c:axId val="319481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480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Costs</a:t>
            </a:r>
            <a:r>
              <a:rPr lang="en-US" baseline="0"/>
              <a:t> per subscriber at different take rates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stacked"/>
        <c:varyColors val="0"/>
        <c:ser>
          <c:idx val="1"/>
          <c:order val="0"/>
          <c:tx>
            <c:strRef>
              <c:f>Chart!$A$7</c:f>
              <c:strCache>
                <c:ptCount val="1"/>
                <c:pt idx="0">
                  <c:v>ISP</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Chart!$B$3:$D$3</c:f>
              <c:numCache>
                <c:formatCode>0%</c:formatCode>
                <c:ptCount val="3"/>
                <c:pt idx="0">
                  <c:v>0.72</c:v>
                </c:pt>
                <c:pt idx="1">
                  <c:v>0.82</c:v>
                </c:pt>
                <c:pt idx="2">
                  <c:v>0.91999999999999993</c:v>
                </c:pt>
              </c:numCache>
            </c:numRef>
          </c:cat>
          <c:val>
            <c:numRef>
              <c:f>Chart!$B$7:$D$7</c:f>
              <c:numCache>
                <c:formatCode>_(* #,##0.00_);_(* \(#,##0.00\);_(* "-"??_);_(@_)</c:formatCode>
                <c:ptCount val="3"/>
                <c:pt idx="0">
                  <c:v>25</c:v>
                </c:pt>
                <c:pt idx="1">
                  <c:v>25</c:v>
                </c:pt>
                <c:pt idx="2">
                  <c:v>25</c:v>
                </c:pt>
              </c:numCache>
            </c:numRef>
          </c:val>
        </c:ser>
        <c:ser>
          <c:idx val="2"/>
          <c:order val="1"/>
          <c:tx>
            <c:strRef>
              <c:f>Chart!$A$8</c:f>
              <c:strCache>
                <c:ptCount val="1"/>
                <c:pt idx="0">
                  <c:v>Phone</c:v>
                </c:pt>
              </c:strCache>
            </c:strRef>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numRef>
              <c:f>Chart!$B$3:$D$3</c:f>
              <c:numCache>
                <c:formatCode>0%</c:formatCode>
                <c:ptCount val="3"/>
                <c:pt idx="0">
                  <c:v>0.72</c:v>
                </c:pt>
                <c:pt idx="1">
                  <c:v>0.82</c:v>
                </c:pt>
                <c:pt idx="2">
                  <c:v>0.91999999999999993</c:v>
                </c:pt>
              </c:numCache>
            </c:numRef>
          </c:cat>
          <c:val>
            <c:numRef>
              <c:f>Chart!$B$8:$D$8</c:f>
              <c:numCache>
                <c:formatCode>_(* #,##0.00_);_(* \(#,##0.00\);_(* "-"??_);_(@_)</c:formatCode>
                <c:ptCount val="3"/>
                <c:pt idx="0">
                  <c:v>20</c:v>
                </c:pt>
                <c:pt idx="1">
                  <c:v>20</c:v>
                </c:pt>
                <c:pt idx="2">
                  <c:v>20</c:v>
                </c:pt>
              </c:numCache>
            </c:numRef>
          </c:val>
        </c:ser>
        <c:ser>
          <c:idx val="0"/>
          <c:order val="2"/>
          <c:tx>
            <c:strRef>
              <c:f>Chart!$A$6</c:f>
              <c:strCache>
                <c:ptCount val="1"/>
                <c:pt idx="0">
                  <c:v>MLP</c:v>
                </c:pt>
              </c:strCache>
            </c:strRef>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numRef>
              <c:f>Chart!$B$3:$D$3</c:f>
              <c:numCache>
                <c:formatCode>0%</c:formatCode>
                <c:ptCount val="3"/>
                <c:pt idx="0">
                  <c:v>0.72</c:v>
                </c:pt>
                <c:pt idx="1">
                  <c:v>0.82</c:v>
                </c:pt>
                <c:pt idx="2">
                  <c:v>0.91999999999999993</c:v>
                </c:pt>
              </c:numCache>
            </c:numRef>
          </c:cat>
          <c:val>
            <c:numRef>
              <c:f>Chart!$B$6:$D$6</c:f>
              <c:numCache>
                <c:formatCode>_(* #,##0.00_);_(* \(#,##0.00\);_(* "-"??_);_(@_)</c:formatCode>
                <c:ptCount val="3"/>
                <c:pt idx="0">
                  <c:v>49.396587546638678</c:v>
                </c:pt>
                <c:pt idx="1">
                  <c:v>43.372613455585189</c:v>
                </c:pt>
                <c:pt idx="2">
                  <c:v>38.658198949543312</c:v>
                </c:pt>
              </c:numCache>
            </c:numRef>
          </c:val>
        </c:ser>
        <c:dLbls>
          <c:showLegendKey val="0"/>
          <c:showVal val="0"/>
          <c:showCatName val="0"/>
          <c:showSerName val="0"/>
          <c:showPercent val="0"/>
          <c:showBubbleSize val="0"/>
        </c:dLbls>
        <c:gapWidth val="150"/>
        <c:overlap val="100"/>
        <c:axId val="307786664"/>
        <c:axId val="307787056"/>
      </c:barChart>
      <c:catAx>
        <c:axId val="307786664"/>
        <c:scaling>
          <c:orientation val="minMax"/>
        </c:scaling>
        <c:delete val="0"/>
        <c:axPos val="b"/>
        <c:numFmt formatCode="0%"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7787056"/>
        <c:crosses val="autoZero"/>
        <c:auto val="1"/>
        <c:lblAlgn val="ctr"/>
        <c:lblOffset val="100"/>
        <c:noMultiLvlLbl val="0"/>
      </c:catAx>
      <c:valAx>
        <c:axId val="307787056"/>
        <c:scaling>
          <c:orientation val="minMax"/>
        </c:scaling>
        <c:delete val="0"/>
        <c:axPos val="l"/>
        <c:majorGridlines>
          <c:spPr>
            <a:ln w="9525" cap="flat" cmpd="sng" algn="ctr">
              <a:solidFill>
                <a:schemeClr val="tx2">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778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981081</xdr:colOff>
      <xdr:row>26</xdr:row>
      <xdr:rowOff>61912</xdr:rowOff>
    </xdr:from>
    <xdr:to>
      <xdr:col>5</xdr:col>
      <xdr:colOff>333381</xdr:colOff>
      <xdr:row>40</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61911</xdr:rowOff>
    </xdr:from>
    <xdr:to>
      <xdr:col>9</xdr:col>
      <xdr:colOff>19050</xdr:colOff>
      <xdr:row>27</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zoomScaleNormal="100" zoomScalePageLayoutView="96" workbookViewId="0">
      <pane xSplit="1" ySplit="3" topLeftCell="B4" activePane="bottomRight" state="frozen"/>
      <selection pane="topRight" activeCell="B1" sqref="B1"/>
      <selection pane="bottomLeft" activeCell="A4" sqref="A4"/>
      <selection pane="bottomRight" activeCell="B16" sqref="B16:F16"/>
    </sheetView>
  </sheetViews>
  <sheetFormatPr defaultColWidth="8.85546875" defaultRowHeight="15" x14ac:dyDescent="0.25"/>
  <cols>
    <col min="1" max="1" width="41.7109375" bestFit="1" customWidth="1"/>
    <col min="2" max="2" width="9.42578125" bestFit="1" customWidth="1"/>
    <col min="3" max="6" width="9" bestFit="1" customWidth="1"/>
    <col min="7" max="7" width="71.42578125" customWidth="1"/>
    <col min="11" max="11" width="13.28515625" bestFit="1" customWidth="1"/>
  </cols>
  <sheetData>
    <row r="1" spans="1:7" x14ac:dyDescent="0.25">
      <c r="A1" s="90" t="s">
        <v>92</v>
      </c>
      <c r="B1" s="90"/>
      <c r="C1" s="90"/>
      <c r="D1" s="90"/>
      <c r="E1" s="90"/>
      <c r="F1" s="90"/>
    </row>
    <row r="2" spans="1:7" x14ac:dyDescent="0.25">
      <c r="A2" s="91" t="s">
        <v>55</v>
      </c>
      <c r="B2" s="91"/>
      <c r="C2" s="91"/>
      <c r="D2" s="91"/>
      <c r="E2" s="91"/>
      <c r="F2" s="91"/>
      <c r="G2" s="41" t="s">
        <v>107</v>
      </c>
    </row>
    <row r="3" spans="1:7" ht="15.75" thickBot="1" x14ac:dyDescent="0.3">
      <c r="A3" s="23"/>
      <c r="B3" s="34" t="s">
        <v>84</v>
      </c>
      <c r="C3" s="34" t="s">
        <v>97</v>
      </c>
      <c r="D3" s="34" t="s">
        <v>98</v>
      </c>
      <c r="E3" s="34" t="s">
        <v>99</v>
      </c>
      <c r="F3" s="34" t="s">
        <v>85</v>
      </c>
    </row>
    <row r="4" spans="1:7" ht="15.75" thickBot="1" x14ac:dyDescent="0.3">
      <c r="A4" s="87" t="s">
        <v>100</v>
      </c>
      <c r="B4" s="88"/>
      <c r="C4" s="88"/>
      <c r="D4" s="88"/>
      <c r="E4" s="88"/>
      <c r="F4" s="89"/>
    </row>
    <row r="5" spans="1:7" ht="15" customHeight="1" x14ac:dyDescent="0.25">
      <c r="A5" s="35" t="s">
        <v>116</v>
      </c>
      <c r="B5" s="45">
        <f>VLOOKUP(TOWN,'Town Data'!$B:$J,8,FALSE)</f>
        <v>212</v>
      </c>
      <c r="C5" s="45">
        <f>+B5</f>
        <v>212</v>
      </c>
      <c r="D5" s="45">
        <f t="shared" ref="D5:F6" si="0">+C5</f>
        <v>212</v>
      </c>
      <c r="E5" s="45">
        <f t="shared" si="0"/>
        <v>212</v>
      </c>
      <c r="F5" s="45">
        <f t="shared" si="0"/>
        <v>212</v>
      </c>
      <c r="G5" s="43" t="s">
        <v>122</v>
      </c>
    </row>
    <row r="6" spans="1:7" x14ac:dyDescent="0.25">
      <c r="A6" s="35" t="s">
        <v>112</v>
      </c>
      <c r="B6" s="47">
        <v>1</v>
      </c>
      <c r="C6" s="47">
        <f>+B6</f>
        <v>1</v>
      </c>
      <c r="D6" s="47">
        <f t="shared" si="0"/>
        <v>1</v>
      </c>
      <c r="E6" s="47">
        <f t="shared" si="0"/>
        <v>1</v>
      </c>
      <c r="F6" s="47">
        <f t="shared" si="0"/>
        <v>1</v>
      </c>
      <c r="G6" s="41" t="s">
        <v>120</v>
      </c>
    </row>
    <row r="7" spans="1:7" x14ac:dyDescent="0.25">
      <c r="A7" s="35" t="s">
        <v>119</v>
      </c>
      <c r="B7" s="46">
        <f>PremiseCount*DropPercent</f>
        <v>212</v>
      </c>
      <c r="C7" s="46">
        <f>PremiseCount*DropPercent</f>
        <v>212</v>
      </c>
      <c r="D7" s="46">
        <f>PremiseCount*DropPercent</f>
        <v>212</v>
      </c>
      <c r="E7" s="46">
        <f>PremiseCount*DropPercent</f>
        <v>212</v>
      </c>
      <c r="F7" s="46">
        <f>PremiseCount*DropPercent</f>
        <v>212</v>
      </c>
      <c r="G7" s="44" t="s">
        <v>117</v>
      </c>
    </row>
    <row r="8" spans="1:7" ht="15" customHeight="1" x14ac:dyDescent="0.25">
      <c r="A8" s="35" t="s">
        <v>78</v>
      </c>
      <c r="B8" s="47">
        <v>0</v>
      </c>
      <c r="C8" s="47">
        <f>+B8</f>
        <v>0</v>
      </c>
      <c r="D8" s="47">
        <f>+C8</f>
        <v>0</v>
      </c>
      <c r="E8" s="47">
        <f>+D8</f>
        <v>0</v>
      </c>
      <c r="F8" s="47">
        <f>+E8</f>
        <v>0</v>
      </c>
      <c r="G8" s="41" t="s">
        <v>121</v>
      </c>
    </row>
    <row r="9" spans="1:7" ht="15" customHeight="1" x14ac:dyDescent="0.25">
      <c r="A9" s="35" t="s">
        <v>79</v>
      </c>
      <c r="B9" s="48">
        <v>7</v>
      </c>
      <c r="C9" s="48">
        <f>+B9</f>
        <v>7</v>
      </c>
      <c r="D9" s="48">
        <f t="shared" ref="D9:F9" si="1">+C9</f>
        <v>7</v>
      </c>
      <c r="E9" s="48">
        <f t="shared" si="1"/>
        <v>7</v>
      </c>
      <c r="F9" s="48">
        <f t="shared" si="1"/>
        <v>7</v>
      </c>
      <c r="G9" s="41" t="s">
        <v>123</v>
      </c>
    </row>
    <row r="10" spans="1:7" ht="15" customHeight="1" x14ac:dyDescent="0.25">
      <c r="A10" s="35" t="s">
        <v>80</v>
      </c>
      <c r="B10" s="45">
        <f>ROUNDDOWN(PremiseCount*SeasonalPercent,0)</f>
        <v>0</v>
      </c>
      <c r="C10" s="45">
        <f>ROUNDDOWN(PremiseCount*SeasonalPercent,0)</f>
        <v>0</v>
      </c>
      <c r="D10" s="45">
        <f>ROUNDDOWN(PremiseCount*SeasonalPercent,0)</f>
        <v>0</v>
      </c>
      <c r="E10" s="45">
        <f>ROUNDDOWN(PremiseCount*SeasonalPercent,0)</f>
        <v>0</v>
      </c>
      <c r="F10" s="45">
        <f>ROUNDDOWN(PremiseCount*SeasonalPercent,0)</f>
        <v>0</v>
      </c>
      <c r="G10" s="44" t="s">
        <v>124</v>
      </c>
    </row>
    <row r="11" spans="1:7" ht="15" customHeight="1" x14ac:dyDescent="0.25">
      <c r="A11" s="35" t="s">
        <v>81</v>
      </c>
      <c r="B11" s="45">
        <f>ROUNDDOWN(SeasonalCount*(SeasonalMonths/12),0)</f>
        <v>0</v>
      </c>
      <c r="C11" s="45">
        <f>ROUNDDOWN(SeasonalCount*(SeasonalMonths/12),0)</f>
        <v>0</v>
      </c>
      <c r="D11" s="45">
        <f>ROUNDDOWN(SeasonalCount*(SeasonalMonths/12),0)</f>
        <v>0</v>
      </c>
      <c r="E11" s="45">
        <f>ROUNDDOWN(SeasonalCount*(SeasonalMonths/12),0)</f>
        <v>0</v>
      </c>
      <c r="F11" s="45">
        <f>ROUNDDOWN(SeasonalCount*(SeasonalMonths/12),0)</f>
        <v>0</v>
      </c>
      <c r="G11" s="44" t="s">
        <v>125</v>
      </c>
    </row>
    <row r="12" spans="1:7" ht="15" customHeight="1" x14ac:dyDescent="0.25">
      <c r="A12" s="35" t="s">
        <v>118</v>
      </c>
      <c r="B12" s="46">
        <f>VLOOKUP(TOWN,'Town Data'!$B:$J,9,FALSE)</f>
        <v>213</v>
      </c>
      <c r="C12" s="46">
        <f>VLOOKUP(TOWN,'Town Data'!$B:$J,9,FALSE)</f>
        <v>213</v>
      </c>
      <c r="D12" s="46">
        <f>VLOOKUP(TOWN,'Town Data'!$B:$J,9,FALSE)</f>
        <v>213</v>
      </c>
      <c r="E12" s="46">
        <f>VLOOKUP(TOWN,'Town Data'!$B:$J,9,FALSE)</f>
        <v>213</v>
      </c>
      <c r="F12" s="46">
        <f>VLOOKUP(TOWN,'Town Data'!$B:$J,9,FALSE)</f>
        <v>213</v>
      </c>
      <c r="G12" s="43" t="s">
        <v>122</v>
      </c>
    </row>
    <row r="13" spans="1:7" ht="15" customHeight="1" x14ac:dyDescent="0.25">
      <c r="A13" s="35" t="s">
        <v>82</v>
      </c>
      <c r="B13" s="45">
        <f>ROUNDDOWN((units*DropPercent)-(SeasonalCount*DropPercent)+(seasonalEffectiveCount*DropPercent),0)</f>
        <v>213</v>
      </c>
      <c r="C13" s="45">
        <f>ROUNDDOWN((units*DropPercent)-(SeasonalCount*DropPercent)+(seasonalEffectiveCount*DropPercent),0)</f>
        <v>213</v>
      </c>
      <c r="D13" s="45">
        <f>ROUNDDOWN((units*DropPercent)-(SeasonalCount*DropPercent)+(seasonalEffectiveCount*DropPercent),0)</f>
        <v>213</v>
      </c>
      <c r="E13" s="45">
        <f>ROUNDDOWN((units*DropPercent)-(SeasonalCount*DropPercent)+(seasonalEffectiveCount*DropPercent),0)</f>
        <v>213</v>
      </c>
      <c r="F13" s="45">
        <f>ROUNDDOWN((units*DropPercent)-(SeasonalCount*DropPercent)+(seasonalEffectiveCount*DropPercent),0)</f>
        <v>213</v>
      </c>
      <c r="G13" s="44" t="s">
        <v>126</v>
      </c>
    </row>
    <row r="14" spans="1:7" x14ac:dyDescent="0.25">
      <c r="A14" s="35" t="s">
        <v>165</v>
      </c>
      <c r="B14" s="49">
        <v>0.75</v>
      </c>
      <c r="C14" s="49">
        <v>0.8</v>
      </c>
      <c r="D14" s="49">
        <v>0.85</v>
      </c>
      <c r="E14" s="49">
        <f t="shared" ref="E14:F14" si="2">+D14</f>
        <v>0.85</v>
      </c>
      <c r="F14" s="49">
        <f t="shared" si="2"/>
        <v>0.85</v>
      </c>
      <c r="G14" s="41" t="s">
        <v>127</v>
      </c>
    </row>
    <row r="15" spans="1:7" x14ac:dyDescent="0.25">
      <c r="A15" s="35" t="s">
        <v>101</v>
      </c>
      <c r="B15" s="46">
        <f>MarketSize*takerate</f>
        <v>159.75</v>
      </c>
      <c r="C15" s="46">
        <f>MarketSize*takerate</f>
        <v>170.4</v>
      </c>
      <c r="D15" s="46">
        <f>MarketSize*takerate</f>
        <v>181.04999999999998</v>
      </c>
      <c r="E15" s="46">
        <f>MarketSize*takerate</f>
        <v>181.04999999999998</v>
      </c>
      <c r="F15" s="46">
        <f>MarketSize*takerate</f>
        <v>181.04999999999998</v>
      </c>
      <c r="G15" s="44" t="s">
        <v>128</v>
      </c>
    </row>
    <row r="16" spans="1:7" ht="60.75" customHeight="1" x14ac:dyDescent="0.25">
      <c r="A16" s="84" t="s">
        <v>188</v>
      </c>
      <c r="B16" s="92" t="s">
        <v>194</v>
      </c>
      <c r="C16" s="92"/>
      <c r="D16" s="92"/>
      <c r="E16" s="92"/>
      <c r="F16" s="92"/>
      <c r="G16" s="85" t="s">
        <v>189</v>
      </c>
    </row>
    <row r="17" spans="1:7" x14ac:dyDescent="0.25">
      <c r="A17" s="72" t="str">
        <f>IF(F17=0,"","Please note that the premise amounts have been updated by "&amp;TOWN)</f>
        <v>Please note that the premise amounts have been updated by ROWE</v>
      </c>
      <c r="F17" s="71">
        <f>VLOOKUP(TOWN,'Town Data'!$B:$J,8,FALSE)-VLOOKUP(TOWN,'Town Data'!$B:$J,4,FALSE)</f>
        <v>-15</v>
      </c>
      <c r="G17" s="44" t="s">
        <v>179</v>
      </c>
    </row>
    <row r="18" spans="1:7" x14ac:dyDescent="0.25">
      <c r="A18" s="72" t="str">
        <f>IF(F18=0,"","Please note that the unit amounts have been updated by "&amp;TOWN)</f>
        <v>Please note that the unit amounts have been updated by ROWE</v>
      </c>
      <c r="F18" s="71">
        <f>VLOOKUP(TOWN,'Town Data'!$B:$J,9,FALSE)-VLOOKUP(TOWN,'Town Data'!$B:$J,5,FALSE)</f>
        <v>-36</v>
      </c>
      <c r="G18" s="44" t="s">
        <v>180</v>
      </c>
    </row>
    <row r="19" spans="1:7" ht="15.75" thickBot="1" x14ac:dyDescent="0.3">
      <c r="A19" s="72"/>
      <c r="F19" s="71"/>
      <c r="G19" s="41" t="s">
        <v>181</v>
      </c>
    </row>
    <row r="20" spans="1:7" ht="15.75" thickBot="1" x14ac:dyDescent="0.3">
      <c r="A20" s="87" t="s">
        <v>104</v>
      </c>
      <c r="B20" s="88"/>
      <c r="C20" s="88"/>
      <c r="D20" s="88"/>
      <c r="E20" s="88"/>
      <c r="F20" s="89"/>
    </row>
    <row r="21" spans="1:7" x14ac:dyDescent="0.25">
      <c r="A21" s="33"/>
      <c r="B21" s="34" t="s">
        <v>84</v>
      </c>
      <c r="C21" s="34" t="s">
        <v>97</v>
      </c>
      <c r="D21" s="34" t="s">
        <v>98</v>
      </c>
      <c r="E21" s="34" t="s">
        <v>99</v>
      </c>
      <c r="F21" s="34" t="s">
        <v>85</v>
      </c>
    </row>
    <row r="22" spans="1:7" x14ac:dyDescent="0.25">
      <c r="A22" s="36" t="s">
        <v>102</v>
      </c>
      <c r="B22" s="68">
        <f>ROUND(+'Expense Projections'!F56/SUMMARY!B15/12,2)</f>
        <v>44.37</v>
      </c>
      <c r="C22" s="68">
        <f>ROUND(+'Expense Projections'!G56/SUMMARY!C15/12,2)</f>
        <v>43.04</v>
      </c>
      <c r="D22" s="68">
        <f>ROUND(+'Expense Projections'!H56/SUMMARY!D15/12,2)</f>
        <v>41.92</v>
      </c>
      <c r="E22" s="68">
        <f>ROUND(+'Expense Projections'!I56/SUMMARY!E15/12,2)</f>
        <v>43.17</v>
      </c>
      <c r="F22" s="68">
        <f>ROUND(+'Expense Projections'!J56/SUMMARY!F15/12,2)</f>
        <v>44.46</v>
      </c>
      <c r="G22" s="44" t="s">
        <v>151</v>
      </c>
    </row>
    <row r="23" spans="1:7" x14ac:dyDescent="0.25">
      <c r="A23" s="36" t="s">
        <v>103</v>
      </c>
      <c r="B23" s="69">
        <v>25</v>
      </c>
      <c r="C23" s="68">
        <f>+B23</f>
        <v>25</v>
      </c>
      <c r="D23" s="68">
        <f t="shared" ref="D23:F24" si="3">+C23</f>
        <v>25</v>
      </c>
      <c r="E23" s="68">
        <f t="shared" si="3"/>
        <v>25</v>
      </c>
      <c r="F23" s="68">
        <f t="shared" si="3"/>
        <v>25</v>
      </c>
      <c r="G23" s="41" t="s">
        <v>152</v>
      </c>
    </row>
    <row r="24" spans="1:7" x14ac:dyDescent="0.25">
      <c r="A24" s="36" t="s">
        <v>166</v>
      </c>
      <c r="B24" s="69">
        <v>20</v>
      </c>
      <c r="C24" s="68">
        <f>+B24</f>
        <v>20</v>
      </c>
      <c r="D24" s="68">
        <f t="shared" si="3"/>
        <v>20</v>
      </c>
      <c r="E24" s="68">
        <f t="shared" si="3"/>
        <v>20</v>
      </c>
      <c r="F24" s="68">
        <f t="shared" si="3"/>
        <v>20</v>
      </c>
      <c r="G24" s="41" t="s">
        <v>153</v>
      </c>
    </row>
    <row r="25" spans="1:7" ht="15.75" thickBot="1" x14ac:dyDescent="0.3">
      <c r="A25" s="33" t="s">
        <v>86</v>
      </c>
      <c r="B25" s="37">
        <f>SUM(B22:B24)</f>
        <v>89.37</v>
      </c>
      <c r="C25" s="37">
        <f t="shared" ref="C25" si="4">SUM(C22:C24)</f>
        <v>88.039999999999992</v>
      </c>
      <c r="D25" s="37">
        <f t="shared" ref="D25" si="5">SUM(D22:D24)</f>
        <v>86.92</v>
      </c>
      <c r="E25" s="37">
        <f t="shared" ref="E25" si="6">SUM(E22:E24)</f>
        <v>88.17</v>
      </c>
      <c r="F25" s="37">
        <f t="shared" ref="F25" si="7">SUM(F22:F24)</f>
        <v>89.460000000000008</v>
      </c>
      <c r="G25" t="s">
        <v>167</v>
      </c>
    </row>
    <row r="26" spans="1:7" ht="15.75" thickTop="1" x14ac:dyDescent="0.25"/>
    <row r="42" spans="1:6" ht="66" customHeight="1" x14ac:dyDescent="0.25">
      <c r="A42" s="86" t="s">
        <v>182</v>
      </c>
      <c r="B42" s="86"/>
      <c r="C42" s="86"/>
      <c r="D42" s="86"/>
      <c r="E42" s="86"/>
      <c r="F42" s="86"/>
    </row>
    <row r="43" spans="1:6" ht="31.5" customHeight="1" x14ac:dyDescent="0.25">
      <c r="A43" s="86" t="s">
        <v>178</v>
      </c>
      <c r="B43" s="86"/>
      <c r="C43" s="86"/>
      <c r="D43" s="86"/>
      <c r="E43" s="86"/>
      <c r="F43" s="86"/>
    </row>
    <row r="44" spans="1:6" ht="83.25" customHeight="1" x14ac:dyDescent="0.25">
      <c r="A44" s="86" t="s">
        <v>183</v>
      </c>
      <c r="B44" s="86"/>
      <c r="C44" s="86"/>
      <c r="D44" s="86"/>
      <c r="E44" s="86"/>
      <c r="F44" s="86"/>
    </row>
  </sheetData>
  <sheetProtection algorithmName="SHA-512" hashValue="BXHC+2F+LjR8Jaw20ZB+o/eFmfdhQPZO16BfUA1gJpSdfkKlIunbXGRJgtLhWVXP8598cC745QHLdfldj5r4iw==" saltValue="/c95NjiHkw2B0HlT4CPpoA==" spinCount="100000" sheet="1" objects="1" scenarios="1"/>
  <mergeCells count="8">
    <mergeCell ref="A44:F44"/>
    <mergeCell ref="A4:F4"/>
    <mergeCell ref="A1:F1"/>
    <mergeCell ref="A2:F2"/>
    <mergeCell ref="A20:F20"/>
    <mergeCell ref="A42:F42"/>
    <mergeCell ref="A43:F43"/>
    <mergeCell ref="B16:F16"/>
  </mergeCells>
  <dataValidations count="1">
    <dataValidation type="list" allowBlank="1" showInputMessage="1" showErrorMessage="1" sqref="A2">
      <formula1>townlist</formula1>
    </dataValidation>
  </dataValidations>
  <pageMargins left="0.7" right="0.7" top="0.75" bottom="0.75" header="0.3" footer="0.3"/>
  <pageSetup scale="83"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showGridLines="0" topLeftCell="A9" zoomScale="106" zoomScaleNormal="106" zoomScalePageLayoutView="98" workbookViewId="0">
      <selection activeCell="B19" sqref="B19"/>
    </sheetView>
  </sheetViews>
  <sheetFormatPr defaultColWidth="8.85546875" defaultRowHeight="15" x14ac:dyDescent="0.25"/>
  <cols>
    <col min="1" max="1" width="48.42578125" customWidth="1"/>
    <col min="2" max="2" width="15.140625" customWidth="1"/>
    <col min="3" max="3" width="13.42578125" customWidth="1"/>
    <col min="4" max="4" width="10.7109375" bestFit="1" customWidth="1"/>
    <col min="5" max="5" width="13.28515625" customWidth="1"/>
    <col min="6" max="10" width="11" customWidth="1"/>
    <col min="11" max="11" width="47.140625" customWidth="1"/>
    <col min="12" max="12" width="71.7109375" customWidth="1"/>
  </cols>
  <sheetData>
    <row r="1" spans="1:12" ht="15.75" x14ac:dyDescent="0.25">
      <c r="A1" s="98" t="s">
        <v>147</v>
      </c>
      <c r="B1" s="98"/>
      <c r="C1" s="98"/>
      <c r="D1" s="98"/>
      <c r="E1" s="98"/>
      <c r="F1" s="98"/>
      <c r="G1" s="98"/>
      <c r="H1" s="98"/>
      <c r="I1" s="98"/>
      <c r="J1" s="98"/>
      <c r="K1" s="98"/>
    </row>
    <row r="2" spans="1:12" x14ac:dyDescent="0.25">
      <c r="A2" s="90" t="str">
        <f>TOWN</f>
        <v>ROWE</v>
      </c>
      <c r="B2" s="90"/>
      <c r="C2" s="90"/>
      <c r="D2" s="90"/>
      <c r="E2" s="90"/>
      <c r="F2" s="90"/>
      <c r="G2" s="90"/>
      <c r="H2" s="90"/>
      <c r="I2" s="90"/>
      <c r="J2" s="90"/>
      <c r="K2" s="90"/>
    </row>
    <row r="3" spans="1:12" x14ac:dyDescent="0.25">
      <c r="A3" s="39" t="s">
        <v>95</v>
      </c>
      <c r="B3" s="39"/>
      <c r="C3" s="39"/>
      <c r="D3" s="39"/>
      <c r="E3" s="39">
        <f>VLOOKUP(TOWN,'Town Data'!$B:$H,7,FALSE)</f>
        <v>29</v>
      </c>
      <c r="F3" s="39"/>
      <c r="G3" s="39"/>
      <c r="H3" s="39"/>
      <c r="I3" s="39"/>
      <c r="J3" s="39"/>
      <c r="K3" s="39"/>
    </row>
    <row r="4" spans="1:12" x14ac:dyDescent="0.25">
      <c r="A4" s="39" t="s">
        <v>96</v>
      </c>
      <c r="B4" s="39"/>
      <c r="C4" s="39"/>
      <c r="D4" s="39"/>
      <c r="E4" s="39">
        <f>VLOOKUP(TOWN,'Town Data'!$B:$H,6,FALSE)</f>
        <v>942</v>
      </c>
      <c r="F4" s="39"/>
      <c r="G4" s="39"/>
      <c r="H4" s="39"/>
      <c r="I4" s="39"/>
      <c r="J4" s="39"/>
      <c r="K4" s="39"/>
    </row>
    <row r="5" spans="1:12" x14ac:dyDescent="0.25">
      <c r="A5" s="39" t="s">
        <v>138</v>
      </c>
      <c r="B5" s="39"/>
      <c r="C5" s="39"/>
      <c r="D5" s="39"/>
      <c r="E5" s="40">
        <f>VLOOKUP(TOWN,'Town Data'!$B:$P,13,FALSE)</f>
        <v>1080000</v>
      </c>
      <c r="F5" s="39"/>
      <c r="G5" s="39"/>
      <c r="H5" s="39"/>
      <c r="I5" s="39"/>
      <c r="J5" s="39"/>
      <c r="K5" s="39"/>
    </row>
    <row r="6" spans="1:12" x14ac:dyDescent="0.25">
      <c r="A6" s="39" t="s">
        <v>139</v>
      </c>
      <c r="B6" s="39"/>
      <c r="C6" s="39"/>
      <c r="D6" s="39"/>
      <c r="E6" s="40">
        <f>VLOOKUP(TOWN,'Town Data'!$B:$P,15,FALSE)</f>
        <v>360000</v>
      </c>
      <c r="F6" s="39"/>
      <c r="G6" s="39"/>
      <c r="H6" s="39"/>
      <c r="I6" s="39"/>
      <c r="J6" s="39"/>
      <c r="K6" s="39"/>
    </row>
    <row r="7" spans="1:12" x14ac:dyDescent="0.25">
      <c r="A7" s="39" t="s">
        <v>140</v>
      </c>
      <c r="B7" s="39"/>
      <c r="C7" s="39"/>
      <c r="D7" s="39"/>
      <c r="E7" s="54">
        <f>+E5-E6</f>
        <v>720000</v>
      </c>
      <c r="F7" s="39"/>
      <c r="G7" s="39"/>
      <c r="H7" s="39"/>
      <c r="I7" s="39"/>
      <c r="J7" s="39"/>
      <c r="K7" s="39"/>
    </row>
    <row r="8" spans="1:12" x14ac:dyDescent="0.25">
      <c r="A8" s="39" t="s">
        <v>141</v>
      </c>
      <c r="B8" s="39"/>
      <c r="C8" s="39"/>
      <c r="D8" s="39"/>
      <c r="E8" s="83">
        <v>0.8</v>
      </c>
      <c r="F8" s="39"/>
      <c r="G8" s="39"/>
      <c r="H8" s="39"/>
      <c r="I8" s="39"/>
      <c r="J8" s="39"/>
      <c r="K8" s="39"/>
    </row>
    <row r="9" spans="1:12" x14ac:dyDescent="0.25">
      <c r="A9" s="39" t="s">
        <v>142</v>
      </c>
      <c r="B9" s="39"/>
      <c r="C9" s="39"/>
      <c r="D9" s="39"/>
      <c r="E9" s="83">
        <v>0.2</v>
      </c>
      <c r="F9" s="39"/>
      <c r="G9" s="39"/>
      <c r="H9" s="39"/>
      <c r="I9" s="39"/>
      <c r="J9" s="39"/>
      <c r="K9" s="39"/>
    </row>
    <row r="10" spans="1:12" x14ac:dyDescent="0.25">
      <c r="A10" s="39" t="s">
        <v>150</v>
      </c>
      <c r="B10" s="39"/>
      <c r="C10" s="39"/>
      <c r="D10" s="39"/>
      <c r="E10" s="39"/>
      <c r="F10" s="39">
        <f>+SUMMARY!B5</f>
        <v>212</v>
      </c>
      <c r="G10" s="39">
        <f>+SUMMARY!C5</f>
        <v>212</v>
      </c>
      <c r="H10" s="39">
        <f>+SUMMARY!D5</f>
        <v>212</v>
      </c>
      <c r="I10" s="39">
        <f>+SUMMARY!E5</f>
        <v>212</v>
      </c>
      <c r="J10" s="39">
        <f>+SUMMARY!F5</f>
        <v>212</v>
      </c>
      <c r="K10" s="39"/>
    </row>
    <row r="11" spans="1:12" x14ac:dyDescent="0.25">
      <c r="A11" s="39" t="s">
        <v>83</v>
      </c>
      <c r="B11" s="39"/>
      <c r="C11" s="39"/>
      <c r="D11" s="39"/>
      <c r="E11" s="39"/>
      <c r="F11" s="40">
        <f>SUMMARY!B15</f>
        <v>159.75</v>
      </c>
      <c r="G11" s="40">
        <f>SUMMARY!C15</f>
        <v>170.4</v>
      </c>
      <c r="H11" s="40">
        <f>SUMMARY!D15</f>
        <v>181.04999999999998</v>
      </c>
      <c r="I11" s="40">
        <f>SUMMARY!E15</f>
        <v>181.04999999999998</v>
      </c>
      <c r="J11" s="40">
        <f>SUMMARY!F15</f>
        <v>181.04999999999998</v>
      </c>
      <c r="K11" s="39"/>
    </row>
    <row r="12" spans="1:12" ht="15.75" thickBot="1" x14ac:dyDescent="0.3"/>
    <row r="13" spans="1:12" s="1" customFormat="1" ht="52.5" thickBot="1" x14ac:dyDescent="0.3">
      <c r="A13" s="25" t="s">
        <v>106</v>
      </c>
      <c r="B13" s="25" t="s">
        <v>87</v>
      </c>
      <c r="C13" s="25" t="s">
        <v>108</v>
      </c>
      <c r="D13" s="25" t="s">
        <v>110</v>
      </c>
      <c r="E13" s="25" t="s">
        <v>94</v>
      </c>
      <c r="F13" s="25" t="s">
        <v>84</v>
      </c>
      <c r="G13" s="25" t="s">
        <v>97</v>
      </c>
      <c r="H13" s="25" t="s">
        <v>98</v>
      </c>
      <c r="I13" s="25" t="s">
        <v>99</v>
      </c>
      <c r="J13" s="25" t="s">
        <v>85</v>
      </c>
      <c r="K13" s="25" t="s">
        <v>109</v>
      </c>
      <c r="L13" s="26"/>
    </row>
    <row r="14" spans="1:12" x14ac:dyDescent="0.25">
      <c r="A14" s="96" t="s">
        <v>137</v>
      </c>
      <c r="B14" s="96"/>
      <c r="C14" s="96"/>
      <c r="D14" s="96"/>
      <c r="E14" s="97"/>
      <c r="F14" s="73">
        <v>0</v>
      </c>
      <c r="G14" s="73">
        <v>0.03</v>
      </c>
      <c r="H14" s="73">
        <f>+G14</f>
        <v>0.03</v>
      </c>
      <c r="I14" s="73">
        <f t="shared" ref="I14:J14" si="0">+H14</f>
        <v>0.03</v>
      </c>
      <c r="J14" s="73">
        <f t="shared" si="0"/>
        <v>0.03</v>
      </c>
      <c r="K14" s="41" t="s">
        <v>129</v>
      </c>
    </row>
    <row r="15" spans="1:12" x14ac:dyDescent="0.25">
      <c r="A15" s="93" t="s">
        <v>143</v>
      </c>
      <c r="B15" s="94"/>
      <c r="C15" s="94"/>
      <c r="D15" s="94"/>
      <c r="E15" s="94"/>
      <c r="F15" s="94"/>
      <c r="G15" s="94"/>
      <c r="H15" s="94"/>
      <c r="I15" s="94"/>
      <c r="J15" s="94"/>
      <c r="K15" s="95"/>
    </row>
    <row r="16" spans="1:12" x14ac:dyDescent="0.25">
      <c r="A16" s="58" t="s">
        <v>1</v>
      </c>
      <c r="B16" s="74" t="s">
        <v>75</v>
      </c>
      <c r="C16" s="55">
        <v>3000</v>
      </c>
      <c r="D16" s="56">
        <v>1</v>
      </c>
      <c r="E16" s="56" t="s">
        <v>130</v>
      </c>
      <c r="F16" s="75">
        <f t="shared" ref="F16:F51" si="1">C16*D16</f>
        <v>3000</v>
      </c>
      <c r="G16" s="75">
        <f>+F16*(1+G$14)</f>
        <v>3090</v>
      </c>
      <c r="H16" s="75">
        <f t="shared" ref="H16:J16" si="2">+G16*(1+H$14)</f>
        <v>3182.7000000000003</v>
      </c>
      <c r="I16" s="75">
        <f t="shared" si="2"/>
        <v>3278.1810000000005</v>
      </c>
      <c r="J16" s="75">
        <f t="shared" si="2"/>
        <v>3376.5264300000008</v>
      </c>
      <c r="K16" s="58" t="s">
        <v>196</v>
      </c>
    </row>
    <row r="17" spans="1:23" x14ac:dyDescent="0.25">
      <c r="A17" s="58" t="s">
        <v>70</v>
      </c>
      <c r="B17" s="74" t="s">
        <v>75</v>
      </c>
      <c r="C17" s="55"/>
      <c r="D17" s="56"/>
      <c r="E17" s="56"/>
      <c r="F17" s="75">
        <f t="shared" si="1"/>
        <v>0</v>
      </c>
      <c r="G17" s="75">
        <f t="shared" ref="G17:J17" si="3">+F17*(1+G$14)</f>
        <v>0</v>
      </c>
      <c r="H17" s="75">
        <f t="shared" si="3"/>
        <v>0</v>
      </c>
      <c r="I17" s="75">
        <f t="shared" si="3"/>
        <v>0</v>
      </c>
      <c r="J17" s="75">
        <f t="shared" si="3"/>
        <v>0</v>
      </c>
      <c r="K17" s="58"/>
    </row>
    <row r="18" spans="1:23" x14ac:dyDescent="0.25">
      <c r="A18" s="58" t="s">
        <v>2</v>
      </c>
      <c r="B18" s="74" t="s">
        <v>75</v>
      </c>
      <c r="C18" s="55"/>
      <c r="D18" s="56"/>
      <c r="E18" s="56"/>
      <c r="F18" s="75">
        <f t="shared" si="1"/>
        <v>0</v>
      </c>
      <c r="G18" s="75">
        <f t="shared" ref="G18:J18" si="4">+F18*(1+G$14)</f>
        <v>0</v>
      </c>
      <c r="H18" s="75">
        <f t="shared" si="4"/>
        <v>0</v>
      </c>
      <c r="I18" s="75">
        <f t="shared" si="4"/>
        <v>0</v>
      </c>
      <c r="J18" s="75">
        <f t="shared" si="4"/>
        <v>0</v>
      </c>
      <c r="K18" s="58"/>
    </row>
    <row r="19" spans="1:23" x14ac:dyDescent="0.25">
      <c r="A19" s="58" t="s">
        <v>71</v>
      </c>
      <c r="B19" s="74" t="s">
        <v>75</v>
      </c>
      <c r="C19" s="55"/>
      <c r="D19" s="56"/>
      <c r="E19" s="56"/>
      <c r="F19" s="75">
        <f t="shared" si="1"/>
        <v>0</v>
      </c>
      <c r="G19" s="75">
        <f t="shared" ref="G19:J19" si="5">+F19*(1+G$14)</f>
        <v>0</v>
      </c>
      <c r="H19" s="75">
        <f t="shared" si="5"/>
        <v>0</v>
      </c>
      <c r="I19" s="75">
        <f t="shared" si="5"/>
        <v>0</v>
      </c>
      <c r="J19" s="75">
        <f t="shared" si="5"/>
        <v>0</v>
      </c>
      <c r="K19" s="58"/>
    </row>
    <row r="20" spans="1:23" x14ac:dyDescent="0.25">
      <c r="A20" s="58" t="s">
        <v>187</v>
      </c>
      <c r="B20" s="74" t="s">
        <v>75</v>
      </c>
      <c r="C20" s="55"/>
      <c r="D20" s="56"/>
      <c r="E20" s="56"/>
      <c r="F20" s="75">
        <f t="shared" si="1"/>
        <v>0</v>
      </c>
      <c r="G20" s="75">
        <f t="shared" ref="G20:J22" si="6">+F20*(1+G$14)</f>
        <v>0</v>
      </c>
      <c r="H20" s="75">
        <f t="shared" si="6"/>
        <v>0</v>
      </c>
      <c r="I20" s="75">
        <f t="shared" si="6"/>
        <v>0</v>
      </c>
      <c r="J20" s="75">
        <f t="shared" si="6"/>
        <v>0</v>
      </c>
      <c r="K20" s="58"/>
    </row>
    <row r="21" spans="1:23" x14ac:dyDescent="0.25">
      <c r="A21" s="58"/>
      <c r="B21" s="74"/>
      <c r="C21" s="55"/>
      <c r="D21" s="56"/>
      <c r="E21" s="56"/>
      <c r="F21" s="75">
        <f t="shared" si="1"/>
        <v>0</v>
      </c>
      <c r="G21" s="75">
        <f t="shared" ref="G21" si="7">+F21*(1+G$14)</f>
        <v>0</v>
      </c>
      <c r="H21" s="75">
        <f t="shared" ref="H21" si="8">+G21*(1+H$14)</f>
        <v>0</v>
      </c>
      <c r="I21" s="75">
        <f t="shared" ref="I21" si="9">+H21*(1+I$14)</f>
        <v>0</v>
      </c>
      <c r="J21" s="75">
        <f t="shared" ref="J21" si="10">+I21*(1+J$14)</f>
        <v>0</v>
      </c>
      <c r="K21" s="58"/>
    </row>
    <row r="22" spans="1:23" x14ac:dyDescent="0.25">
      <c r="A22" s="58"/>
      <c r="B22" s="74"/>
      <c r="C22" s="55"/>
      <c r="D22" s="56"/>
      <c r="E22" s="56"/>
      <c r="F22" s="75">
        <f t="shared" ref="F22" si="11">C22*D22</f>
        <v>0</v>
      </c>
      <c r="G22" s="75">
        <f t="shared" si="6"/>
        <v>0</v>
      </c>
      <c r="H22" s="75">
        <f t="shared" si="6"/>
        <v>0</v>
      </c>
      <c r="I22" s="75">
        <f t="shared" si="6"/>
        <v>0</v>
      </c>
      <c r="J22" s="75">
        <f t="shared" si="6"/>
        <v>0</v>
      </c>
      <c r="K22" s="58"/>
    </row>
    <row r="23" spans="1:23" x14ac:dyDescent="0.25">
      <c r="A23" s="58"/>
      <c r="B23" s="74"/>
      <c r="C23" s="55"/>
      <c r="D23" s="56"/>
      <c r="E23" s="56"/>
      <c r="F23" s="75">
        <f t="shared" si="1"/>
        <v>0</v>
      </c>
      <c r="G23" s="75">
        <f t="shared" ref="G23:J23" si="12">+F23*(1+G$14)</f>
        <v>0</v>
      </c>
      <c r="H23" s="75">
        <f t="shared" si="12"/>
        <v>0</v>
      </c>
      <c r="I23" s="75">
        <f t="shared" si="12"/>
        <v>0</v>
      </c>
      <c r="J23" s="75">
        <f t="shared" si="12"/>
        <v>0</v>
      </c>
      <c r="K23" s="58"/>
    </row>
    <row r="24" spans="1:23" ht="15.75" thickBot="1" x14ac:dyDescent="0.3">
      <c r="A24" s="99" t="s">
        <v>89</v>
      </c>
      <c r="B24" s="100"/>
      <c r="C24" s="100"/>
      <c r="D24" s="100"/>
      <c r="E24" s="100"/>
      <c r="F24" s="100"/>
      <c r="G24" s="100"/>
      <c r="H24" s="100"/>
      <c r="I24" s="100"/>
      <c r="J24" s="100"/>
      <c r="K24" s="101"/>
    </row>
    <row r="25" spans="1:23" x14ac:dyDescent="0.25">
      <c r="A25" s="76" t="s">
        <v>168</v>
      </c>
      <c r="B25" s="74" t="s">
        <v>75</v>
      </c>
      <c r="C25" s="55"/>
      <c r="D25" s="56">
        <v>1</v>
      </c>
      <c r="E25" s="56" t="s">
        <v>130</v>
      </c>
      <c r="F25" s="75">
        <f t="shared" ref="F25:F31" si="13">C25*D25</f>
        <v>0</v>
      </c>
      <c r="G25" s="75">
        <f t="shared" ref="G25:J31" si="14">+F25*(1+G$14)</f>
        <v>0</v>
      </c>
      <c r="H25" s="75">
        <f t="shared" si="14"/>
        <v>0</v>
      </c>
      <c r="I25" s="75">
        <f t="shared" si="14"/>
        <v>0</v>
      </c>
      <c r="J25" s="77">
        <f t="shared" si="14"/>
        <v>0</v>
      </c>
      <c r="K25" s="58" t="s">
        <v>195</v>
      </c>
    </row>
    <row r="26" spans="1:23" s="23" customFormat="1" x14ac:dyDescent="0.25">
      <c r="A26" s="76" t="s">
        <v>169</v>
      </c>
      <c r="B26" s="74" t="s">
        <v>76</v>
      </c>
      <c r="C26" s="55">
        <v>442</v>
      </c>
      <c r="D26" s="62">
        <f>+E3</f>
        <v>29</v>
      </c>
      <c r="E26" s="62" t="s">
        <v>95</v>
      </c>
      <c r="F26" s="75">
        <f t="shared" si="13"/>
        <v>12818</v>
      </c>
      <c r="G26" s="75">
        <f t="shared" si="14"/>
        <v>13202.54</v>
      </c>
      <c r="H26" s="75">
        <f t="shared" si="14"/>
        <v>13598.6162</v>
      </c>
      <c r="I26" s="75">
        <f t="shared" si="14"/>
        <v>14006.574686</v>
      </c>
      <c r="J26" s="77">
        <f t="shared" si="14"/>
        <v>14426.771926580001</v>
      </c>
      <c r="K26" s="106" t="s">
        <v>196</v>
      </c>
      <c r="L26" s="27"/>
      <c r="M26" s="28"/>
      <c r="N26" s="28"/>
      <c r="O26" s="28"/>
      <c r="P26" s="28"/>
      <c r="Q26" s="28"/>
      <c r="R26" s="28"/>
      <c r="S26" s="28"/>
      <c r="T26" s="28"/>
      <c r="U26" s="28"/>
      <c r="V26" s="28"/>
      <c r="W26" s="24"/>
    </row>
    <row r="27" spans="1:23" x14ac:dyDescent="0.25">
      <c r="A27" s="76" t="s">
        <v>170</v>
      </c>
      <c r="B27" s="74" t="s">
        <v>76</v>
      </c>
      <c r="C27" s="55"/>
      <c r="D27" s="56"/>
      <c r="E27" s="56"/>
      <c r="F27" s="75">
        <f t="shared" si="13"/>
        <v>0</v>
      </c>
      <c r="G27" s="75">
        <f t="shared" si="14"/>
        <v>0</v>
      </c>
      <c r="H27" s="75">
        <f t="shared" si="14"/>
        <v>0</v>
      </c>
      <c r="I27" s="75">
        <f t="shared" si="14"/>
        <v>0</v>
      </c>
      <c r="J27" s="77">
        <f t="shared" si="14"/>
        <v>0</v>
      </c>
      <c r="K27" s="59"/>
      <c r="L27" s="23"/>
      <c r="M27" s="23"/>
      <c r="N27" s="23"/>
      <c r="O27" s="23"/>
      <c r="P27" s="23"/>
      <c r="Q27" s="23"/>
      <c r="R27" s="23"/>
      <c r="S27" s="23"/>
      <c r="T27" s="23"/>
      <c r="U27" s="23"/>
      <c r="V27" s="23"/>
    </row>
    <row r="28" spans="1:23" s="23" customFormat="1" x14ac:dyDescent="0.25">
      <c r="A28" s="76" t="s">
        <v>171</v>
      </c>
      <c r="B28" s="74" t="s">
        <v>76</v>
      </c>
      <c r="C28" s="55"/>
      <c r="D28" s="56"/>
      <c r="E28" s="56"/>
      <c r="F28" s="75">
        <f t="shared" si="13"/>
        <v>0</v>
      </c>
      <c r="G28" s="75">
        <f t="shared" si="14"/>
        <v>0</v>
      </c>
      <c r="H28" s="75">
        <f t="shared" si="14"/>
        <v>0</v>
      </c>
      <c r="I28" s="75">
        <f t="shared" si="14"/>
        <v>0</v>
      </c>
      <c r="J28" s="77">
        <f t="shared" si="14"/>
        <v>0</v>
      </c>
      <c r="K28" s="59"/>
    </row>
    <row r="29" spans="1:23" s="23" customFormat="1" x14ac:dyDescent="0.25">
      <c r="A29" s="78" t="s">
        <v>172</v>
      </c>
      <c r="B29" s="74" t="s">
        <v>76</v>
      </c>
      <c r="C29" s="55"/>
      <c r="D29" s="56"/>
      <c r="E29" s="56"/>
      <c r="F29" s="75">
        <f t="shared" si="13"/>
        <v>0</v>
      </c>
      <c r="G29" s="75">
        <f t="shared" si="14"/>
        <v>0</v>
      </c>
      <c r="H29" s="75">
        <f t="shared" si="14"/>
        <v>0</v>
      </c>
      <c r="I29" s="75">
        <f t="shared" si="14"/>
        <v>0</v>
      </c>
      <c r="J29" s="77">
        <f t="shared" si="14"/>
        <v>0</v>
      </c>
      <c r="K29" s="58"/>
    </row>
    <row r="30" spans="1:23" s="23" customFormat="1" x14ac:dyDescent="0.25">
      <c r="A30" s="78"/>
      <c r="B30" s="74"/>
      <c r="C30" s="55"/>
      <c r="D30" s="56"/>
      <c r="E30" s="56"/>
      <c r="F30" s="75">
        <f t="shared" si="13"/>
        <v>0</v>
      </c>
      <c r="G30" s="75">
        <f t="shared" ref="G30" si="15">+F30*(1+G$14)</f>
        <v>0</v>
      </c>
      <c r="H30" s="75">
        <f t="shared" ref="H30" si="16">+G30*(1+H$14)</f>
        <v>0</v>
      </c>
      <c r="I30" s="75">
        <f t="shared" ref="I30" si="17">+H30*(1+I$14)</f>
        <v>0</v>
      </c>
      <c r="J30" s="77">
        <f t="shared" ref="J30" si="18">+I30*(1+J$14)</f>
        <v>0</v>
      </c>
      <c r="K30" s="58"/>
    </row>
    <row r="31" spans="1:23" s="23" customFormat="1" x14ac:dyDescent="0.25">
      <c r="A31" s="78"/>
      <c r="B31" s="74"/>
      <c r="C31" s="55"/>
      <c r="D31" s="56"/>
      <c r="E31" s="56"/>
      <c r="F31" s="75">
        <f t="shared" si="13"/>
        <v>0</v>
      </c>
      <c r="G31" s="75">
        <f t="shared" si="14"/>
        <v>0</v>
      </c>
      <c r="H31" s="75">
        <f t="shared" si="14"/>
        <v>0</v>
      </c>
      <c r="I31" s="75">
        <f t="shared" si="14"/>
        <v>0</v>
      </c>
      <c r="J31" s="77">
        <f t="shared" si="14"/>
        <v>0</v>
      </c>
      <c r="K31" s="58"/>
    </row>
    <row r="32" spans="1:23" ht="15.75" thickBot="1" x14ac:dyDescent="0.3">
      <c r="A32" s="99" t="s">
        <v>145</v>
      </c>
      <c r="B32" s="100"/>
      <c r="C32" s="100"/>
      <c r="D32" s="100"/>
      <c r="E32" s="100"/>
      <c r="F32" s="100"/>
      <c r="G32" s="100"/>
      <c r="H32" s="100"/>
      <c r="I32" s="100"/>
      <c r="J32" s="100"/>
      <c r="K32" s="101"/>
    </row>
    <row r="33" spans="1:11" ht="60" x14ac:dyDescent="0.25">
      <c r="A33" s="76" t="s">
        <v>90</v>
      </c>
      <c r="B33" s="74" t="s">
        <v>75</v>
      </c>
      <c r="C33" s="55"/>
      <c r="D33" s="70">
        <v>0</v>
      </c>
      <c r="E33" s="56"/>
      <c r="F33" s="75">
        <f>+$E$7*$E$8*$D33</f>
        <v>0</v>
      </c>
      <c r="G33" s="75">
        <f>+$E$7*$E$8*$D33</f>
        <v>0</v>
      </c>
      <c r="H33" s="75">
        <f>+$E$7*$E$8*$D33</f>
        <v>0</v>
      </c>
      <c r="I33" s="75">
        <f>+$E$7*$E$8*$D33</f>
        <v>0</v>
      </c>
      <c r="J33" s="75">
        <f>+$E$7*$E$8*$D33</f>
        <v>0</v>
      </c>
      <c r="K33" s="58" t="s">
        <v>190</v>
      </c>
    </row>
    <row r="34" spans="1:11" ht="23.25" customHeight="1" x14ac:dyDescent="0.25">
      <c r="A34" s="76" t="s">
        <v>88</v>
      </c>
      <c r="B34" s="74" t="s">
        <v>75</v>
      </c>
      <c r="C34" s="55"/>
      <c r="D34" s="70">
        <v>0</v>
      </c>
      <c r="E34" s="56"/>
      <c r="F34" s="75">
        <f>+$E$7*$E$9*$D34</f>
        <v>0</v>
      </c>
      <c r="G34" s="75">
        <f>+$E$7*$E$9*$D34</f>
        <v>0</v>
      </c>
      <c r="H34" s="75">
        <f>+$E$7*$E$9*$D34</f>
        <v>0</v>
      </c>
      <c r="I34" s="75">
        <f>+$E$7*$E$9*$D34</f>
        <v>0</v>
      </c>
      <c r="J34" s="75">
        <f>+$E$7*$E$9*$D34</f>
        <v>0</v>
      </c>
      <c r="K34" s="58" t="s">
        <v>191</v>
      </c>
    </row>
    <row r="35" spans="1:11" s="23" customFormat="1" x14ac:dyDescent="0.25">
      <c r="A35" s="76" t="s">
        <v>74</v>
      </c>
      <c r="B35" s="74" t="s">
        <v>75</v>
      </c>
      <c r="C35" s="55"/>
      <c r="D35" s="56"/>
      <c r="E35" s="56"/>
      <c r="F35" s="75">
        <f t="shared" si="1"/>
        <v>0</v>
      </c>
      <c r="G35" s="75">
        <f t="shared" ref="G35:J35" si="19">+F35*(1+G$14)</f>
        <v>0</v>
      </c>
      <c r="H35" s="75">
        <f t="shared" si="19"/>
        <v>0</v>
      </c>
      <c r="I35" s="75">
        <f t="shared" si="19"/>
        <v>0</v>
      </c>
      <c r="J35" s="77">
        <f t="shared" si="19"/>
        <v>0</v>
      </c>
      <c r="K35" s="58"/>
    </row>
    <row r="36" spans="1:11" ht="30" x14ac:dyDescent="0.25">
      <c r="A36" s="76" t="s">
        <v>184</v>
      </c>
      <c r="B36" s="74" t="s">
        <v>76</v>
      </c>
      <c r="C36" s="55">
        <v>39</v>
      </c>
      <c r="D36" s="62" t="s">
        <v>149</v>
      </c>
      <c r="E36" s="62" t="s">
        <v>148</v>
      </c>
      <c r="F36" s="75">
        <f>+F$10*$C36</f>
        <v>8268</v>
      </c>
      <c r="G36" s="75">
        <f t="shared" ref="G36:J37" si="20">+F36*(1+G$14)</f>
        <v>8516.0400000000009</v>
      </c>
      <c r="H36" s="75">
        <f t="shared" si="20"/>
        <v>8771.521200000001</v>
      </c>
      <c r="I36" s="75">
        <f t="shared" si="20"/>
        <v>9034.6668360000021</v>
      </c>
      <c r="J36" s="77">
        <f t="shared" si="20"/>
        <v>9305.7068410800021</v>
      </c>
      <c r="K36" s="58" t="s">
        <v>197</v>
      </c>
    </row>
    <row r="37" spans="1:11" x14ac:dyDescent="0.25">
      <c r="A37" s="76" t="s">
        <v>185</v>
      </c>
      <c r="B37" s="74"/>
      <c r="C37" s="55"/>
      <c r="D37" s="62"/>
      <c r="E37" s="62"/>
      <c r="F37" s="75">
        <f t="shared" ref="F37" si="21">C37*D37</f>
        <v>0</v>
      </c>
      <c r="G37" s="75">
        <f t="shared" si="20"/>
        <v>0</v>
      </c>
      <c r="H37" s="75">
        <f t="shared" si="20"/>
        <v>0</v>
      </c>
      <c r="I37" s="75">
        <f t="shared" si="20"/>
        <v>0</v>
      </c>
      <c r="J37" s="77">
        <f t="shared" si="20"/>
        <v>0</v>
      </c>
      <c r="K37" s="58"/>
    </row>
    <row r="38" spans="1:11" x14ac:dyDescent="0.25">
      <c r="A38" s="76" t="s">
        <v>186</v>
      </c>
      <c r="B38" s="74"/>
      <c r="C38" s="55"/>
      <c r="D38" s="62"/>
      <c r="E38" s="62"/>
      <c r="F38" s="75">
        <f t="shared" ref="F38" si="22">C38*D38</f>
        <v>0</v>
      </c>
      <c r="G38" s="75">
        <f t="shared" ref="G38" si="23">+F38*(1+G$14)</f>
        <v>0</v>
      </c>
      <c r="H38" s="75">
        <f t="shared" ref="H38" si="24">+G38*(1+H$14)</f>
        <v>0</v>
      </c>
      <c r="I38" s="75">
        <f t="shared" ref="I38" si="25">+H38*(1+I$14)</f>
        <v>0</v>
      </c>
      <c r="J38" s="77">
        <f t="shared" ref="J38" si="26">+I38*(1+J$14)</f>
        <v>0</v>
      </c>
      <c r="K38" s="58"/>
    </row>
    <row r="39" spans="1:11" x14ac:dyDescent="0.25">
      <c r="A39" s="76" t="s">
        <v>69</v>
      </c>
      <c r="B39" s="74" t="s">
        <v>76</v>
      </c>
      <c r="C39" s="55">
        <v>3</v>
      </c>
      <c r="D39" s="62">
        <f>+E4</f>
        <v>942</v>
      </c>
      <c r="E39" s="62" t="s">
        <v>96</v>
      </c>
      <c r="F39" s="75">
        <f t="shared" si="1"/>
        <v>2826</v>
      </c>
      <c r="G39" s="75">
        <f t="shared" ref="G39:J39" si="27">+F39*(1+G$14)</f>
        <v>2910.78</v>
      </c>
      <c r="H39" s="75">
        <f t="shared" si="27"/>
        <v>2998.1034000000004</v>
      </c>
      <c r="I39" s="75">
        <f t="shared" si="27"/>
        <v>3088.0465020000006</v>
      </c>
      <c r="J39" s="77">
        <f t="shared" si="27"/>
        <v>3180.6878970600005</v>
      </c>
      <c r="K39" s="58" t="s">
        <v>198</v>
      </c>
    </row>
    <row r="40" spans="1:11" x14ac:dyDescent="0.25">
      <c r="A40" s="76" t="s">
        <v>73</v>
      </c>
      <c r="B40" s="74" t="s">
        <v>76</v>
      </c>
      <c r="C40" s="79">
        <f>VLOOKUP(VLOOKUP(TOWN,'Town Data'!$B:$H,2,FALSE),Lookup!$B$1:$C$5,2,FALSE)</f>
        <v>13.52</v>
      </c>
      <c r="D40" s="62">
        <f>+E4</f>
        <v>942</v>
      </c>
      <c r="E40" s="62" t="s">
        <v>96</v>
      </c>
      <c r="F40" s="75">
        <f t="shared" si="1"/>
        <v>12735.84</v>
      </c>
      <c r="G40" s="75">
        <f t="shared" ref="G40:G42" si="28">+F40*(1+G$14)</f>
        <v>13117.915200000001</v>
      </c>
      <c r="H40" s="75">
        <f t="shared" ref="H40:H42" si="29">+G40*(1+H$14)</f>
        <v>13511.452656000001</v>
      </c>
      <c r="I40" s="75">
        <f t="shared" ref="I40:I42" si="30">+H40*(1+I$14)</f>
        <v>13916.796235680002</v>
      </c>
      <c r="J40" s="77">
        <f t="shared" ref="J40:J42" si="31">+I40*(1+J$14)</f>
        <v>14334.300122750403</v>
      </c>
      <c r="K40" s="58" t="s">
        <v>198</v>
      </c>
    </row>
    <row r="41" spans="1:11" x14ac:dyDescent="0.25">
      <c r="A41" s="78"/>
      <c r="B41" s="74"/>
      <c r="C41" s="55"/>
      <c r="D41" s="56"/>
      <c r="E41" s="56"/>
      <c r="F41" s="75">
        <f>C41*D41</f>
        <v>0</v>
      </c>
      <c r="G41" s="75">
        <f t="shared" si="28"/>
        <v>0</v>
      </c>
      <c r="H41" s="75">
        <f t="shared" si="29"/>
        <v>0</v>
      </c>
      <c r="I41" s="75">
        <f t="shared" si="30"/>
        <v>0</v>
      </c>
      <c r="J41" s="77">
        <f t="shared" si="31"/>
        <v>0</v>
      </c>
      <c r="K41" s="58"/>
    </row>
    <row r="42" spans="1:11" x14ac:dyDescent="0.25">
      <c r="A42" s="78"/>
      <c r="B42" s="74"/>
      <c r="C42" s="55"/>
      <c r="D42" s="56"/>
      <c r="E42" s="56"/>
      <c r="F42" s="75">
        <f>C42*D42</f>
        <v>0</v>
      </c>
      <c r="G42" s="75">
        <f t="shared" si="28"/>
        <v>0</v>
      </c>
      <c r="H42" s="75">
        <f t="shared" si="29"/>
        <v>0</v>
      </c>
      <c r="I42" s="75">
        <f t="shared" si="30"/>
        <v>0</v>
      </c>
      <c r="J42" s="77">
        <f t="shared" si="31"/>
        <v>0</v>
      </c>
      <c r="K42" s="58"/>
    </row>
    <row r="43" spans="1:11" x14ac:dyDescent="0.25">
      <c r="A43" s="93" t="s">
        <v>163</v>
      </c>
      <c r="B43" s="94"/>
      <c r="C43" s="94"/>
      <c r="D43" s="94"/>
      <c r="E43" s="94"/>
      <c r="F43" s="94"/>
      <c r="G43" s="94"/>
      <c r="H43" s="94"/>
      <c r="I43" s="94"/>
      <c r="J43" s="94"/>
      <c r="K43" s="95"/>
    </row>
    <row r="44" spans="1:11" ht="30" x14ac:dyDescent="0.25">
      <c r="A44" s="58" t="s">
        <v>164</v>
      </c>
      <c r="B44" s="74" t="s">
        <v>77</v>
      </c>
      <c r="C44" s="55">
        <v>20000</v>
      </c>
      <c r="D44" s="56">
        <v>1</v>
      </c>
      <c r="E44" s="56" t="s">
        <v>130</v>
      </c>
      <c r="F44" s="75">
        <f t="shared" ref="F44:F48" si="32">C44*D44</f>
        <v>20000</v>
      </c>
      <c r="G44" s="75">
        <f t="shared" ref="G44:G48" si="33">+F44*(1+G$14)</f>
        <v>20600</v>
      </c>
      <c r="H44" s="75">
        <f t="shared" ref="H44:H48" si="34">+G44*(1+H$14)</f>
        <v>21218</v>
      </c>
      <c r="I44" s="75">
        <f t="shared" ref="I44:I48" si="35">+H44*(1+I$14)</f>
        <v>21854.54</v>
      </c>
      <c r="J44" s="75">
        <f t="shared" ref="J44:J48" si="36">+I44*(1+J$14)</f>
        <v>22510.176200000002</v>
      </c>
      <c r="K44" s="58" t="s">
        <v>199</v>
      </c>
    </row>
    <row r="45" spans="1:11" ht="30" x14ac:dyDescent="0.25">
      <c r="A45" s="80" t="s">
        <v>91</v>
      </c>
      <c r="B45" s="74" t="s">
        <v>76</v>
      </c>
      <c r="C45" s="57">
        <v>36</v>
      </c>
      <c r="D45" s="62" t="s">
        <v>144</v>
      </c>
      <c r="E45" s="62" t="s">
        <v>83</v>
      </c>
      <c r="F45" s="75">
        <f>+F11*C45</f>
        <v>5751</v>
      </c>
      <c r="G45" s="81">
        <f>+G$11*($C45*(1+G$14))</f>
        <v>6318.4319999999998</v>
      </c>
      <c r="H45" s="81">
        <f>+H$11*($C45*(1+H$14+G$14))</f>
        <v>6908.8680000000004</v>
      </c>
      <c r="I45" s="81">
        <f>+I$11*($C45*(1+I$14+H$14+G$14))</f>
        <v>7104.402</v>
      </c>
      <c r="J45" s="81">
        <f>+J$11*($C45*(1+J$14+I$14+H$14+G$14))</f>
        <v>7299.9360000000006</v>
      </c>
      <c r="K45" s="58" t="s">
        <v>196</v>
      </c>
    </row>
    <row r="46" spans="1:11" x14ac:dyDescent="0.25">
      <c r="A46" s="58" t="s">
        <v>173</v>
      </c>
      <c r="B46" s="74"/>
      <c r="C46" s="55"/>
      <c r="D46" s="56"/>
      <c r="E46" s="56"/>
      <c r="F46" s="75">
        <f t="shared" ref="F46:F47" si="37">C46*D46</f>
        <v>0</v>
      </c>
      <c r="G46" s="75">
        <f t="shared" ref="G46:G47" si="38">+F46*(1+G$14)</f>
        <v>0</v>
      </c>
      <c r="H46" s="75">
        <f t="shared" ref="H46:H47" si="39">+G46*(1+H$14)</f>
        <v>0</v>
      </c>
      <c r="I46" s="75">
        <f t="shared" ref="I46:I47" si="40">+H46*(1+I$14)</f>
        <v>0</v>
      </c>
      <c r="J46" s="75">
        <f t="shared" ref="J46:J47" si="41">+I46*(1+J$14)</f>
        <v>0</v>
      </c>
      <c r="K46" s="58"/>
    </row>
    <row r="47" spans="1:11" ht="30" x14ac:dyDescent="0.25">
      <c r="A47" s="58" t="s">
        <v>192</v>
      </c>
      <c r="B47" s="74" t="s">
        <v>193</v>
      </c>
      <c r="C47" s="55">
        <v>14400</v>
      </c>
      <c r="D47" s="56">
        <v>1</v>
      </c>
      <c r="E47" s="56" t="s">
        <v>130</v>
      </c>
      <c r="F47" s="75">
        <f t="shared" si="37"/>
        <v>14400</v>
      </c>
      <c r="G47" s="75">
        <f t="shared" si="38"/>
        <v>14832</v>
      </c>
      <c r="H47" s="75">
        <f t="shared" si="39"/>
        <v>15276.960000000001</v>
      </c>
      <c r="I47" s="75">
        <f t="shared" si="40"/>
        <v>15735.268800000002</v>
      </c>
      <c r="J47" s="75">
        <f t="shared" si="41"/>
        <v>16207.326864000002</v>
      </c>
      <c r="K47" s="58" t="s">
        <v>200</v>
      </c>
    </row>
    <row r="48" spans="1:11" x14ac:dyDescent="0.25">
      <c r="A48" s="58"/>
      <c r="B48" s="74"/>
      <c r="C48" s="55"/>
      <c r="D48" s="56"/>
      <c r="E48" s="56"/>
      <c r="F48" s="75">
        <f t="shared" si="32"/>
        <v>0</v>
      </c>
      <c r="G48" s="75">
        <f t="shared" si="33"/>
        <v>0</v>
      </c>
      <c r="H48" s="75">
        <f t="shared" si="34"/>
        <v>0</v>
      </c>
      <c r="I48" s="75">
        <f t="shared" si="35"/>
        <v>0</v>
      </c>
      <c r="J48" s="75">
        <f t="shared" si="36"/>
        <v>0</v>
      </c>
      <c r="K48" s="58"/>
    </row>
    <row r="49" spans="1:11" x14ac:dyDescent="0.25">
      <c r="A49" s="93" t="s">
        <v>146</v>
      </c>
      <c r="B49" s="94"/>
      <c r="C49" s="94"/>
      <c r="D49" s="94"/>
      <c r="E49" s="94"/>
      <c r="F49" s="94"/>
      <c r="G49" s="94"/>
      <c r="H49" s="94"/>
      <c r="I49" s="94"/>
      <c r="J49" s="94"/>
      <c r="K49" s="95"/>
    </row>
    <row r="50" spans="1:11" x14ac:dyDescent="0.25">
      <c r="A50" s="58" t="s">
        <v>0</v>
      </c>
      <c r="B50" s="74" t="s">
        <v>77</v>
      </c>
      <c r="C50" s="55">
        <v>1200</v>
      </c>
      <c r="D50" s="56">
        <v>1</v>
      </c>
      <c r="E50" s="56" t="s">
        <v>130</v>
      </c>
      <c r="F50" s="75">
        <f t="shared" si="1"/>
        <v>1200</v>
      </c>
      <c r="G50" s="75">
        <f t="shared" ref="G50:J50" si="42">+F50*(1+G$14)</f>
        <v>1236</v>
      </c>
      <c r="H50" s="75">
        <f t="shared" si="42"/>
        <v>1273.08</v>
      </c>
      <c r="I50" s="75">
        <f t="shared" si="42"/>
        <v>1311.2724000000001</v>
      </c>
      <c r="J50" s="75">
        <f t="shared" si="42"/>
        <v>1350.610572</v>
      </c>
      <c r="K50" s="58" t="s">
        <v>201</v>
      </c>
    </row>
    <row r="51" spans="1:11" x14ac:dyDescent="0.25">
      <c r="A51" s="58" t="s">
        <v>72</v>
      </c>
      <c r="B51" s="74"/>
      <c r="C51" s="55"/>
      <c r="D51" s="56"/>
      <c r="E51" s="56"/>
      <c r="F51" s="75">
        <f t="shared" si="1"/>
        <v>0</v>
      </c>
      <c r="G51" s="75">
        <f t="shared" ref="G51:J51" si="43">+F51*(1+G$14)</f>
        <v>0</v>
      </c>
      <c r="H51" s="75">
        <f t="shared" si="43"/>
        <v>0</v>
      </c>
      <c r="I51" s="75">
        <f t="shared" si="43"/>
        <v>0</v>
      </c>
      <c r="J51" s="75">
        <f t="shared" si="43"/>
        <v>0</v>
      </c>
      <c r="K51" s="58"/>
    </row>
    <row r="52" spans="1:11" ht="30" x14ac:dyDescent="0.25">
      <c r="A52" s="58" t="s">
        <v>3</v>
      </c>
      <c r="B52" s="74" t="s">
        <v>176</v>
      </c>
      <c r="C52" s="55"/>
      <c r="D52" s="70">
        <v>0</v>
      </c>
      <c r="E52" s="56" t="s">
        <v>177</v>
      </c>
      <c r="F52" s="61">
        <f>ROUND(SUM(F33:F42)*$D52,0)</f>
        <v>0</v>
      </c>
      <c r="G52" s="61">
        <f>ROUND(SUM(G33:G42)*$D52,0)</f>
        <v>0</v>
      </c>
      <c r="H52" s="61">
        <f>ROUND(SUM(H33:H42)*$D52,0)</f>
        <v>0</v>
      </c>
      <c r="I52" s="61">
        <f>ROUND(SUM(I33:I42)*$D52,0)</f>
        <v>0</v>
      </c>
      <c r="J52" s="61">
        <f>ROUND(SUM(J33:J42)*$D52,0)</f>
        <v>0</v>
      </c>
      <c r="K52" s="82"/>
    </row>
    <row r="53" spans="1:11" ht="30" x14ac:dyDescent="0.25">
      <c r="A53" s="58" t="s">
        <v>3</v>
      </c>
      <c r="B53" s="74" t="s">
        <v>175</v>
      </c>
      <c r="C53" s="55"/>
      <c r="D53" s="70">
        <v>0.05</v>
      </c>
      <c r="E53" s="56" t="s">
        <v>174</v>
      </c>
      <c r="F53" s="61">
        <f>ROUND(SUM(F15:F50)*$D53,0)</f>
        <v>4050</v>
      </c>
      <c r="G53" s="61">
        <f>ROUND(SUM(G15:G50)*$D53,0)</f>
        <v>4191</v>
      </c>
      <c r="H53" s="61">
        <f>ROUND(SUM(H15:H50)*$D53,0)</f>
        <v>4337</v>
      </c>
      <c r="I53" s="61">
        <f>ROUND(SUM(I15:I50)*$D53,0)</f>
        <v>4466</v>
      </c>
      <c r="J53" s="61">
        <f>ROUND(SUM(J15:J50)*$D53,0)</f>
        <v>4600</v>
      </c>
      <c r="K53" s="82" t="s">
        <v>202</v>
      </c>
    </row>
    <row r="54" spans="1:11" x14ac:dyDescent="0.25">
      <c r="A54" s="58"/>
      <c r="B54" s="74"/>
      <c r="C54" s="55"/>
      <c r="D54" s="56"/>
      <c r="E54" s="56"/>
      <c r="F54" s="75">
        <f t="shared" ref="F54:F55" si="44">C54*D54</f>
        <v>0</v>
      </c>
      <c r="G54" s="75">
        <f t="shared" ref="G54:G55" si="45">+F54*(1+G$14)</f>
        <v>0</v>
      </c>
      <c r="H54" s="75">
        <f t="shared" ref="H54:H55" si="46">+G54*(1+H$14)</f>
        <v>0</v>
      </c>
      <c r="I54" s="75">
        <f t="shared" ref="I54:I55" si="47">+H54*(1+I$14)</f>
        <v>0</v>
      </c>
      <c r="J54" s="75">
        <f t="shared" ref="J54:J55" si="48">+I54*(1+J$14)</f>
        <v>0</v>
      </c>
      <c r="K54" s="58"/>
    </row>
    <row r="55" spans="1:11" x14ac:dyDescent="0.25">
      <c r="A55" s="58"/>
      <c r="B55" s="74"/>
      <c r="C55" s="55"/>
      <c r="D55" s="56"/>
      <c r="E55" s="56"/>
      <c r="F55" s="75">
        <f t="shared" si="44"/>
        <v>0</v>
      </c>
      <c r="G55" s="75">
        <f t="shared" si="45"/>
        <v>0</v>
      </c>
      <c r="H55" s="75">
        <f t="shared" si="46"/>
        <v>0</v>
      </c>
      <c r="I55" s="75">
        <f t="shared" si="47"/>
        <v>0</v>
      </c>
      <c r="J55" s="75">
        <f t="shared" si="48"/>
        <v>0</v>
      </c>
      <c r="K55" s="58"/>
    </row>
    <row r="56" spans="1:11" ht="15.75" thickBot="1" x14ac:dyDescent="0.3">
      <c r="A56" s="30" t="s">
        <v>105</v>
      </c>
      <c r="B56" s="30"/>
      <c r="C56" s="30"/>
      <c r="D56" s="30"/>
      <c r="E56" s="30"/>
      <c r="F56" s="38">
        <f>SUM(F16:F55)</f>
        <v>85048.84</v>
      </c>
      <c r="G56" s="38">
        <f>SUM(G16:G55)</f>
        <v>88014.707200000004</v>
      </c>
      <c r="H56" s="38">
        <f>SUM(H16:H55)</f>
        <v>91076.301456000016</v>
      </c>
      <c r="I56" s="38">
        <f>SUM(I16:I55)</f>
        <v>93795.748459680006</v>
      </c>
      <c r="J56" s="38">
        <f>SUM(J16:J55)</f>
        <v>96592.042853470412</v>
      </c>
      <c r="K56" s="30"/>
    </row>
    <row r="57" spans="1:11" ht="15.75" thickTop="1" x14ac:dyDescent="0.25"/>
  </sheetData>
  <mergeCells count="8">
    <mergeCell ref="A49:K49"/>
    <mergeCell ref="A14:E14"/>
    <mergeCell ref="A43:K43"/>
    <mergeCell ref="A1:K1"/>
    <mergeCell ref="A2:K2"/>
    <mergeCell ref="A15:K15"/>
    <mergeCell ref="A24:K24"/>
    <mergeCell ref="A32:K32"/>
  </mergeCells>
  <phoneticPr fontId="16" type="noConversion"/>
  <pageMargins left="0.2" right="0.2" top="0.5" bottom="0.25" header="0.3" footer="0.3"/>
  <pageSetup scale="59" fitToHeight="0" orientation="landscape"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
  <sheetViews>
    <sheetView zoomScale="90" zoomScaleNormal="90" zoomScalePageLayoutView="90" workbookViewId="0">
      <selection activeCell="C30" sqref="C30"/>
    </sheetView>
  </sheetViews>
  <sheetFormatPr defaultColWidth="8.85546875" defaultRowHeight="15" x14ac:dyDescent="0.25"/>
  <cols>
    <col min="1" max="1" width="19" customWidth="1"/>
    <col min="2" max="2" width="11.42578125" bestFit="1" customWidth="1"/>
  </cols>
  <sheetData>
    <row r="2" spans="1:4" x14ac:dyDescent="0.25">
      <c r="B2" t="s">
        <v>154</v>
      </c>
      <c r="C2" t="s">
        <v>161</v>
      </c>
      <c r="D2" t="s">
        <v>155</v>
      </c>
    </row>
    <row r="3" spans="1:4" x14ac:dyDescent="0.25">
      <c r="A3" t="s">
        <v>156</v>
      </c>
      <c r="B3" s="63">
        <f>+C3-0.1</f>
        <v>0.72</v>
      </c>
      <c r="C3" s="63">
        <f>AVERAGE(SUMMARY!B14:F14)</f>
        <v>0.82</v>
      </c>
      <c r="D3" s="63">
        <f>C3+0.1</f>
        <v>0.91999999999999993</v>
      </c>
    </row>
    <row r="4" spans="1:4" x14ac:dyDescent="0.25">
      <c r="A4" t="s">
        <v>157</v>
      </c>
      <c r="B4">
        <f>+SUMMARY!B13*Chart!B3</f>
        <v>153.35999999999999</v>
      </c>
      <c r="C4" s="64">
        <f>AVERAGE(SUMMARY!B15:F15)</f>
        <v>174.65999999999997</v>
      </c>
      <c r="D4" s="64">
        <f>+SUMMARY!D13*Chart!D3</f>
        <v>195.95999999999998</v>
      </c>
    </row>
    <row r="5" spans="1:4" x14ac:dyDescent="0.25">
      <c r="A5" t="s">
        <v>160</v>
      </c>
      <c r="B5" s="65">
        <f>AVERAGE('Expense Projections'!$F$56:$J$56)</f>
        <v>90905.527993830081</v>
      </c>
    </row>
    <row r="6" spans="1:4" x14ac:dyDescent="0.25">
      <c r="A6" t="s">
        <v>102</v>
      </c>
      <c r="B6" s="66">
        <f>+B5/B4/12</f>
        <v>49.396587546638678</v>
      </c>
      <c r="C6" s="66">
        <f>+B5/C4/12</f>
        <v>43.372613455585189</v>
      </c>
      <c r="D6" s="66">
        <f>+B5/D4/12</f>
        <v>38.658198949543312</v>
      </c>
    </row>
    <row r="7" spans="1:4" x14ac:dyDescent="0.25">
      <c r="A7" t="s">
        <v>158</v>
      </c>
      <c r="B7" s="67">
        <f>+SUMMARY!B23</f>
        <v>25</v>
      </c>
      <c r="C7" s="67">
        <f>+B7</f>
        <v>25</v>
      </c>
      <c r="D7" s="67">
        <f>+C7</f>
        <v>25</v>
      </c>
    </row>
    <row r="8" spans="1:4" x14ac:dyDescent="0.25">
      <c r="A8" t="s">
        <v>159</v>
      </c>
      <c r="B8" s="67">
        <f>+SUMMARY!B24</f>
        <v>20</v>
      </c>
      <c r="C8" s="67">
        <f>+B8</f>
        <v>20</v>
      </c>
      <c r="D8" s="67">
        <f>+C8</f>
        <v>20</v>
      </c>
    </row>
    <row r="29" spans="1:9" ht="33.75" customHeight="1" x14ac:dyDescent="0.25">
      <c r="A29" s="102" t="s">
        <v>162</v>
      </c>
      <c r="B29" s="102"/>
      <c r="C29" s="102"/>
      <c r="D29" s="102"/>
      <c r="E29" s="102"/>
      <c r="F29" s="102"/>
      <c r="G29" s="102"/>
      <c r="H29" s="102"/>
      <c r="I29" s="102"/>
    </row>
  </sheetData>
  <mergeCells count="1">
    <mergeCell ref="A29:I29"/>
  </mergeCells>
  <pageMargins left="0.7" right="0.7" top="0.75" bottom="0.75" header="0.3" footer="0.3"/>
  <pageSetup scale="86" fitToHeight="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zoomScale="82" zoomScaleNormal="82" zoomScalePageLayoutView="82" workbookViewId="0">
      <pane ySplit="1" topLeftCell="A8" activePane="bottomLeft" state="frozen"/>
      <selection pane="bottomLeft" activeCell="G33" sqref="G33"/>
    </sheetView>
  </sheetViews>
  <sheetFormatPr defaultColWidth="8.85546875" defaultRowHeight="33.75" x14ac:dyDescent="0.5"/>
  <cols>
    <col min="1" max="1" width="13.140625" style="3" bestFit="1" customWidth="1"/>
    <col min="2" max="2" width="21" style="3" bestFit="1" customWidth="1"/>
    <col min="3" max="3" width="22.28515625" style="3" customWidth="1"/>
    <col min="4" max="4" width="47.7109375" style="3" bestFit="1" customWidth="1"/>
    <col min="5" max="6" width="14" style="3" customWidth="1"/>
    <col min="7" max="7" width="13.42578125" style="3" customWidth="1"/>
    <col min="8" max="8" width="15.140625" style="3" customWidth="1"/>
    <col min="9" max="9" width="15.7109375" style="2" customWidth="1"/>
    <col min="10" max="10" width="12.85546875" style="2" customWidth="1"/>
    <col min="11" max="11" width="15.42578125" style="2" bestFit="1" customWidth="1"/>
    <col min="12" max="12" width="11.28515625" style="2" customWidth="1"/>
    <col min="13" max="13" width="14.28515625" style="2" customWidth="1"/>
    <col min="14" max="15" width="14.85546875" style="2" customWidth="1"/>
    <col min="16" max="16" width="11.42578125" style="2" bestFit="1" customWidth="1"/>
    <col min="17" max="16384" width="8.85546875" style="2"/>
  </cols>
  <sheetData>
    <row r="1" spans="1:16" ht="69" customHeight="1" thickBot="1" x14ac:dyDescent="0.55000000000000004">
      <c r="A1" s="8" t="s">
        <v>4</v>
      </c>
      <c r="B1" s="9" t="s">
        <v>5</v>
      </c>
      <c r="C1" s="9" t="s">
        <v>6</v>
      </c>
      <c r="D1" s="9" t="s">
        <v>7</v>
      </c>
      <c r="E1" s="9" t="s">
        <v>113</v>
      </c>
      <c r="F1" s="9" t="s">
        <v>114</v>
      </c>
      <c r="G1" s="9" t="s">
        <v>8</v>
      </c>
      <c r="H1" s="10" t="s">
        <v>9</v>
      </c>
      <c r="I1" s="42" t="s">
        <v>111</v>
      </c>
      <c r="J1" s="42" t="s">
        <v>115</v>
      </c>
      <c r="K1" s="9" t="s">
        <v>131</v>
      </c>
      <c r="L1" s="9" t="s">
        <v>132</v>
      </c>
      <c r="M1" s="9" t="s">
        <v>133</v>
      </c>
      <c r="N1" s="9" t="s">
        <v>135</v>
      </c>
      <c r="O1" s="9" t="s">
        <v>136</v>
      </c>
      <c r="P1" s="9" t="s">
        <v>134</v>
      </c>
    </row>
    <row r="2" spans="1:16" ht="20.100000000000001" customHeight="1" thickBot="1" x14ac:dyDescent="0.55000000000000004">
      <c r="A2" s="11" t="s">
        <v>10</v>
      </c>
      <c r="B2" s="12" t="s">
        <v>11</v>
      </c>
      <c r="C2" s="12" t="s">
        <v>12</v>
      </c>
      <c r="D2" s="12" t="s">
        <v>13</v>
      </c>
      <c r="E2" s="13">
        <v>342</v>
      </c>
      <c r="F2" s="13">
        <v>357</v>
      </c>
      <c r="G2" s="12">
        <v>730</v>
      </c>
      <c r="H2" s="14">
        <v>21</v>
      </c>
      <c r="I2" s="60">
        <f t="shared" ref="I2" si="0">+E2</f>
        <v>342</v>
      </c>
      <c r="J2" s="60">
        <f t="shared" ref="J2" si="1">+F2</f>
        <v>357</v>
      </c>
      <c r="K2" s="50">
        <v>1310000</v>
      </c>
      <c r="L2" s="50">
        <v>210000</v>
      </c>
      <c r="M2" s="50">
        <v>270000</v>
      </c>
      <c r="N2" s="50">
        <v>1100000</v>
      </c>
      <c r="O2" s="50">
        <v>830000</v>
      </c>
      <c r="P2" s="50">
        <v>260000</v>
      </c>
    </row>
    <row r="3" spans="1:16" ht="20.100000000000001" customHeight="1" thickBot="1" x14ac:dyDescent="0.55000000000000004">
      <c r="A3" s="15" t="s">
        <v>14</v>
      </c>
      <c r="B3" s="16" t="s">
        <v>15</v>
      </c>
      <c r="C3" s="16" t="s">
        <v>16</v>
      </c>
      <c r="D3" s="16" t="s">
        <v>17</v>
      </c>
      <c r="E3" s="17">
        <v>815</v>
      </c>
      <c r="F3" s="17">
        <v>934</v>
      </c>
      <c r="G3" s="16">
        <v>1743</v>
      </c>
      <c r="H3" s="18">
        <v>77</v>
      </c>
      <c r="I3" s="60">
        <f t="shared" ref="I3:I45" si="2">+E3</f>
        <v>815</v>
      </c>
      <c r="J3" s="60">
        <f t="shared" ref="J3:J45" si="3">+F3</f>
        <v>934</v>
      </c>
      <c r="K3" s="51">
        <v>3710000</v>
      </c>
      <c r="L3" s="51">
        <v>640000</v>
      </c>
      <c r="M3" s="51">
        <v>770000</v>
      </c>
      <c r="N3" s="51">
        <v>3070000</v>
      </c>
      <c r="O3" s="51">
        <v>2300000</v>
      </c>
      <c r="P3" s="51">
        <v>800000</v>
      </c>
    </row>
    <row r="4" spans="1:16" ht="20.100000000000001" customHeight="1" thickBot="1" x14ac:dyDescent="0.55000000000000004">
      <c r="A4" s="15" t="s">
        <v>10</v>
      </c>
      <c r="B4" s="16" t="s">
        <v>18</v>
      </c>
      <c r="C4" s="16" t="s">
        <v>19</v>
      </c>
      <c r="D4" s="16" t="s">
        <v>17</v>
      </c>
      <c r="E4" s="17">
        <v>1823</v>
      </c>
      <c r="F4" s="17">
        <v>1862</v>
      </c>
      <c r="G4" s="16">
        <v>3560</v>
      </c>
      <c r="H4" s="18">
        <v>119</v>
      </c>
      <c r="I4" s="60">
        <f t="shared" si="2"/>
        <v>1823</v>
      </c>
      <c r="J4" s="60">
        <f t="shared" si="3"/>
        <v>1862</v>
      </c>
      <c r="K4" s="51">
        <v>5900000</v>
      </c>
      <c r="L4" s="51">
        <v>860000</v>
      </c>
      <c r="M4" s="51">
        <v>1290000</v>
      </c>
      <c r="N4" s="51">
        <v>5040000</v>
      </c>
      <c r="O4" s="51">
        <v>3750000</v>
      </c>
      <c r="P4" s="51">
        <v>1000000</v>
      </c>
    </row>
    <row r="5" spans="1:16" ht="20.100000000000001" customHeight="1" thickBot="1" x14ac:dyDescent="0.55000000000000004">
      <c r="A5" s="15" t="s">
        <v>20</v>
      </c>
      <c r="B5" s="16" t="s">
        <v>21</v>
      </c>
      <c r="C5" s="16" t="s">
        <v>22</v>
      </c>
      <c r="D5" s="16" t="s">
        <v>17</v>
      </c>
      <c r="E5" s="17">
        <v>587</v>
      </c>
      <c r="F5" s="17">
        <v>612</v>
      </c>
      <c r="G5" s="16">
        <v>1385</v>
      </c>
      <c r="H5" s="18">
        <v>55</v>
      </c>
      <c r="I5" s="60">
        <f t="shared" si="2"/>
        <v>587</v>
      </c>
      <c r="J5" s="60">
        <f t="shared" si="3"/>
        <v>612</v>
      </c>
      <c r="K5" s="51">
        <v>2800000</v>
      </c>
      <c r="L5" s="51">
        <v>480000</v>
      </c>
      <c r="M5" s="51">
        <v>560000</v>
      </c>
      <c r="N5" s="51">
        <v>2320000</v>
      </c>
      <c r="O5" s="51">
        <v>1760000</v>
      </c>
      <c r="P5" s="51">
        <v>660000</v>
      </c>
    </row>
    <row r="6" spans="1:16" ht="20.100000000000001" customHeight="1" thickBot="1" x14ac:dyDescent="0.55000000000000004">
      <c r="A6" s="15" t="s">
        <v>14</v>
      </c>
      <c r="B6" s="16" t="s">
        <v>23</v>
      </c>
      <c r="C6" s="16" t="s">
        <v>12</v>
      </c>
      <c r="D6" s="16" t="s">
        <v>13</v>
      </c>
      <c r="E6" s="17">
        <v>588</v>
      </c>
      <c r="F6" s="17">
        <v>671</v>
      </c>
      <c r="G6" s="16">
        <v>1783</v>
      </c>
      <c r="H6" s="18">
        <v>52</v>
      </c>
      <c r="I6" s="60">
        <f t="shared" si="2"/>
        <v>588</v>
      </c>
      <c r="J6" s="60">
        <f t="shared" si="3"/>
        <v>671</v>
      </c>
      <c r="K6" s="51">
        <v>2670000</v>
      </c>
      <c r="L6" s="51">
        <v>430000</v>
      </c>
      <c r="M6" s="51">
        <v>530000</v>
      </c>
      <c r="N6" s="51">
        <v>2240000</v>
      </c>
      <c r="O6" s="51">
        <v>1710000</v>
      </c>
      <c r="P6" s="51">
        <v>620000</v>
      </c>
    </row>
    <row r="7" spans="1:16" ht="20.100000000000001" customHeight="1" thickBot="1" x14ac:dyDescent="0.55000000000000004">
      <c r="A7" s="15" t="s">
        <v>24</v>
      </c>
      <c r="B7" s="16" t="s">
        <v>25</v>
      </c>
      <c r="C7" s="16" t="s">
        <v>16</v>
      </c>
      <c r="D7" s="16" t="s">
        <v>17</v>
      </c>
      <c r="E7" s="17">
        <v>601</v>
      </c>
      <c r="F7" s="17">
        <v>618</v>
      </c>
      <c r="G7" s="16">
        <v>1320</v>
      </c>
      <c r="H7" s="18">
        <v>47</v>
      </c>
      <c r="I7" s="60">
        <f t="shared" si="2"/>
        <v>601</v>
      </c>
      <c r="J7" s="60">
        <f t="shared" si="3"/>
        <v>618</v>
      </c>
      <c r="K7" s="51">
        <v>2400000</v>
      </c>
      <c r="L7" s="51">
        <v>390000</v>
      </c>
      <c r="M7" s="51">
        <v>500000</v>
      </c>
      <c r="N7" s="51">
        <v>2010000</v>
      </c>
      <c r="O7" s="51">
        <v>1510000</v>
      </c>
      <c r="P7" s="51">
        <v>530000</v>
      </c>
    </row>
    <row r="8" spans="1:16" ht="20.100000000000001" customHeight="1" thickBot="1" x14ac:dyDescent="0.55000000000000004">
      <c r="A8" s="15" t="s">
        <v>14</v>
      </c>
      <c r="B8" s="16" t="s">
        <v>26</v>
      </c>
      <c r="C8" s="16" t="s">
        <v>22</v>
      </c>
      <c r="D8" s="16" t="s">
        <v>17</v>
      </c>
      <c r="E8" s="17">
        <v>804</v>
      </c>
      <c r="F8" s="17">
        <v>908</v>
      </c>
      <c r="G8" s="16">
        <v>1802</v>
      </c>
      <c r="H8" s="18">
        <v>74</v>
      </c>
      <c r="I8" s="60">
        <f t="shared" si="2"/>
        <v>804</v>
      </c>
      <c r="J8" s="60">
        <f t="shared" si="3"/>
        <v>908</v>
      </c>
      <c r="K8" s="51">
        <v>3550000</v>
      </c>
      <c r="L8" s="51">
        <v>610000</v>
      </c>
      <c r="M8" s="51">
        <v>690000</v>
      </c>
      <c r="N8" s="51">
        <v>2940000</v>
      </c>
      <c r="O8" s="51">
        <v>2250000</v>
      </c>
      <c r="P8" s="51">
        <v>900000</v>
      </c>
    </row>
    <row r="9" spans="1:16" ht="20.100000000000001" customHeight="1" thickBot="1" x14ac:dyDescent="0.55000000000000004">
      <c r="A9" s="15" t="s">
        <v>24</v>
      </c>
      <c r="B9" s="16" t="s">
        <v>27</v>
      </c>
      <c r="C9" s="16" t="s">
        <v>16</v>
      </c>
      <c r="D9" s="16" t="s">
        <v>17</v>
      </c>
      <c r="E9" s="17">
        <v>463</v>
      </c>
      <c r="F9" s="17">
        <v>533</v>
      </c>
      <c r="G9" s="16">
        <v>1275</v>
      </c>
      <c r="H9" s="18">
        <v>49</v>
      </c>
      <c r="I9" s="60">
        <f t="shared" si="2"/>
        <v>463</v>
      </c>
      <c r="J9" s="60">
        <f t="shared" si="3"/>
        <v>533</v>
      </c>
      <c r="K9" s="51">
        <v>2210000</v>
      </c>
      <c r="L9" s="51">
        <v>390000</v>
      </c>
      <c r="M9" s="51">
        <v>450000</v>
      </c>
      <c r="N9" s="51">
        <v>1820000</v>
      </c>
      <c r="O9" s="51">
        <v>1370000</v>
      </c>
      <c r="P9" s="51">
        <v>530000</v>
      </c>
    </row>
    <row r="10" spans="1:16" ht="20.100000000000001" customHeight="1" thickBot="1" x14ac:dyDescent="0.55000000000000004">
      <c r="A10" s="15" t="s">
        <v>10</v>
      </c>
      <c r="B10" s="16" t="s">
        <v>28</v>
      </c>
      <c r="C10" s="16" t="s">
        <v>12</v>
      </c>
      <c r="D10" s="16" t="s">
        <v>13</v>
      </c>
      <c r="E10" s="17">
        <v>920</v>
      </c>
      <c r="F10" s="17">
        <v>1034</v>
      </c>
      <c r="G10" s="16">
        <v>1837</v>
      </c>
      <c r="H10" s="18">
        <v>47</v>
      </c>
      <c r="I10" s="60">
        <f t="shared" si="2"/>
        <v>920</v>
      </c>
      <c r="J10" s="60">
        <f t="shared" si="3"/>
        <v>1034</v>
      </c>
      <c r="K10" s="51">
        <v>2940000</v>
      </c>
      <c r="L10" s="51">
        <v>410000</v>
      </c>
      <c r="M10" s="51">
        <v>660000</v>
      </c>
      <c r="N10" s="51">
        <v>2530000</v>
      </c>
      <c r="O10" s="51">
        <v>1870000</v>
      </c>
      <c r="P10" s="51">
        <v>600000</v>
      </c>
    </row>
    <row r="11" spans="1:16" ht="20.100000000000001" customHeight="1" thickBot="1" x14ac:dyDescent="0.55000000000000004">
      <c r="A11" s="15" t="s">
        <v>10</v>
      </c>
      <c r="B11" s="16" t="s">
        <v>29</v>
      </c>
      <c r="C11" s="16" t="s">
        <v>12</v>
      </c>
      <c r="D11" s="16" t="s">
        <v>13</v>
      </c>
      <c r="E11" s="17">
        <v>380</v>
      </c>
      <c r="F11" s="17">
        <v>383</v>
      </c>
      <c r="G11" s="16">
        <v>1108</v>
      </c>
      <c r="H11" s="18">
        <v>36</v>
      </c>
      <c r="I11" s="60">
        <f t="shared" si="2"/>
        <v>380</v>
      </c>
      <c r="J11" s="60">
        <f t="shared" si="3"/>
        <v>383</v>
      </c>
      <c r="K11" s="51">
        <v>1700000</v>
      </c>
      <c r="L11" s="51">
        <v>290000</v>
      </c>
      <c r="M11" s="51">
        <v>350000</v>
      </c>
      <c r="N11" s="51">
        <v>1410000</v>
      </c>
      <c r="O11" s="51">
        <v>1060000</v>
      </c>
      <c r="P11" s="51">
        <v>350000</v>
      </c>
    </row>
    <row r="12" spans="1:16" ht="20.100000000000001" customHeight="1" thickBot="1" x14ac:dyDescent="0.55000000000000004">
      <c r="A12" s="15" t="s">
        <v>24</v>
      </c>
      <c r="B12" s="16" t="s">
        <v>30</v>
      </c>
      <c r="C12" s="16" t="s">
        <v>22</v>
      </c>
      <c r="D12" s="16" t="s">
        <v>13</v>
      </c>
      <c r="E12" s="17">
        <v>585</v>
      </c>
      <c r="F12" s="17">
        <v>636</v>
      </c>
      <c r="G12" s="16">
        <v>1324</v>
      </c>
      <c r="H12" s="18">
        <v>35</v>
      </c>
      <c r="I12" s="60">
        <f t="shared" si="2"/>
        <v>585</v>
      </c>
      <c r="J12" s="60">
        <f t="shared" si="3"/>
        <v>636</v>
      </c>
      <c r="K12" s="51">
        <v>2150000</v>
      </c>
      <c r="L12" s="51">
        <v>320000</v>
      </c>
      <c r="M12" s="51">
        <v>450000</v>
      </c>
      <c r="N12" s="51">
        <v>1830000</v>
      </c>
      <c r="O12" s="51">
        <v>1380000</v>
      </c>
      <c r="P12" s="51">
        <v>550000</v>
      </c>
    </row>
    <row r="13" spans="1:16" ht="20.100000000000001" customHeight="1" thickBot="1" x14ac:dyDescent="0.55000000000000004">
      <c r="A13" s="15" t="s">
        <v>10</v>
      </c>
      <c r="B13" s="16" t="s">
        <v>31</v>
      </c>
      <c r="C13" s="16" t="s">
        <v>19</v>
      </c>
      <c r="D13" s="16" t="s">
        <v>32</v>
      </c>
      <c r="E13" s="17">
        <v>682</v>
      </c>
      <c r="F13" s="17">
        <v>755</v>
      </c>
      <c r="G13" s="16">
        <v>758</v>
      </c>
      <c r="H13" s="18">
        <v>30</v>
      </c>
      <c r="I13" s="60">
        <f t="shared" si="2"/>
        <v>682</v>
      </c>
      <c r="J13" s="60">
        <f t="shared" si="3"/>
        <v>755</v>
      </c>
      <c r="K13" s="51">
        <v>2200000</v>
      </c>
      <c r="L13" s="51">
        <v>330000</v>
      </c>
      <c r="M13" s="51">
        <v>480000</v>
      </c>
      <c r="N13" s="51">
        <v>1870000</v>
      </c>
      <c r="O13" s="51">
        <v>1390000</v>
      </c>
      <c r="P13" s="51">
        <v>340000</v>
      </c>
    </row>
    <row r="14" spans="1:16" ht="20.100000000000001" customHeight="1" thickBot="1" x14ac:dyDescent="0.55000000000000004">
      <c r="A14" s="15" t="s">
        <v>14</v>
      </c>
      <c r="B14" s="16" t="s">
        <v>33</v>
      </c>
      <c r="C14" s="16" t="s">
        <v>16</v>
      </c>
      <c r="D14" s="16" t="s">
        <v>13</v>
      </c>
      <c r="E14" s="17">
        <v>198</v>
      </c>
      <c r="F14" s="17">
        <v>218</v>
      </c>
      <c r="G14" s="16">
        <v>833</v>
      </c>
      <c r="H14" s="18">
        <v>28</v>
      </c>
      <c r="I14" s="60">
        <f t="shared" si="2"/>
        <v>198</v>
      </c>
      <c r="J14" s="60">
        <f t="shared" si="3"/>
        <v>218</v>
      </c>
      <c r="K14" s="51">
        <v>1540000</v>
      </c>
      <c r="L14" s="51">
        <v>270000</v>
      </c>
      <c r="M14" s="51">
        <v>250000</v>
      </c>
      <c r="N14" s="51">
        <v>1270000</v>
      </c>
      <c r="O14" s="51">
        <v>1020000</v>
      </c>
      <c r="P14" s="51">
        <v>390000</v>
      </c>
    </row>
    <row r="15" spans="1:16" ht="20.100000000000001" customHeight="1" thickBot="1" x14ac:dyDescent="0.55000000000000004">
      <c r="A15" s="15" t="s">
        <v>14</v>
      </c>
      <c r="B15" s="16" t="s">
        <v>34</v>
      </c>
      <c r="C15" s="16" t="s">
        <v>16</v>
      </c>
      <c r="D15" s="16" t="s">
        <v>13</v>
      </c>
      <c r="E15" s="17">
        <v>401</v>
      </c>
      <c r="F15" s="17">
        <v>403</v>
      </c>
      <c r="G15" s="16">
        <v>1563</v>
      </c>
      <c r="H15" s="18">
        <v>49</v>
      </c>
      <c r="I15" s="60">
        <f t="shared" si="2"/>
        <v>401</v>
      </c>
      <c r="J15" s="60">
        <f t="shared" si="3"/>
        <v>403</v>
      </c>
      <c r="K15" s="51">
        <v>2240000</v>
      </c>
      <c r="L15" s="51">
        <v>380000</v>
      </c>
      <c r="M15" s="51">
        <v>440000</v>
      </c>
      <c r="N15" s="51">
        <v>1860000</v>
      </c>
      <c r="O15" s="51">
        <v>1420000</v>
      </c>
      <c r="P15" s="51">
        <v>570000</v>
      </c>
    </row>
    <row r="16" spans="1:16" ht="20.100000000000001" customHeight="1" thickBot="1" x14ac:dyDescent="0.55000000000000004">
      <c r="A16" s="15" t="s">
        <v>10</v>
      </c>
      <c r="B16" s="16" t="s">
        <v>35</v>
      </c>
      <c r="C16" s="16" t="s">
        <v>19</v>
      </c>
      <c r="D16" s="16" t="s">
        <v>17</v>
      </c>
      <c r="E16" s="17">
        <v>1043</v>
      </c>
      <c r="F16" s="17">
        <v>1259</v>
      </c>
      <c r="G16" s="16">
        <v>1202</v>
      </c>
      <c r="H16" s="18">
        <v>46</v>
      </c>
      <c r="I16" s="60">
        <f t="shared" si="2"/>
        <v>1043</v>
      </c>
      <c r="J16" s="60">
        <f t="shared" si="3"/>
        <v>1259</v>
      </c>
      <c r="K16" s="51">
        <v>2780000</v>
      </c>
      <c r="L16" s="51">
        <v>380000</v>
      </c>
      <c r="M16" s="51">
        <v>630000</v>
      </c>
      <c r="N16" s="51">
        <v>2400000</v>
      </c>
      <c r="O16" s="51">
        <v>1770000</v>
      </c>
      <c r="P16" s="51">
        <v>430000</v>
      </c>
    </row>
    <row r="17" spans="1:16" ht="20.100000000000001" customHeight="1" thickBot="1" x14ac:dyDescent="0.55000000000000004">
      <c r="A17" s="15" t="s">
        <v>10</v>
      </c>
      <c r="B17" s="16" t="s">
        <v>36</v>
      </c>
      <c r="C17" s="16" t="s">
        <v>19</v>
      </c>
      <c r="D17" s="16" t="s">
        <v>17</v>
      </c>
      <c r="E17" s="17">
        <v>1417</v>
      </c>
      <c r="F17" s="17">
        <v>1848</v>
      </c>
      <c r="G17" s="16">
        <v>1423</v>
      </c>
      <c r="H17" s="18">
        <v>61</v>
      </c>
      <c r="I17" s="60">
        <f t="shared" si="2"/>
        <v>1417</v>
      </c>
      <c r="J17" s="60">
        <f t="shared" si="3"/>
        <v>1848</v>
      </c>
      <c r="K17" s="51">
        <v>3880000</v>
      </c>
      <c r="L17" s="51">
        <v>490000</v>
      </c>
      <c r="M17" s="51">
        <v>890000</v>
      </c>
      <c r="N17" s="51">
        <v>3390000</v>
      </c>
      <c r="O17" s="51">
        <v>2500000</v>
      </c>
      <c r="P17" s="51">
        <v>590000</v>
      </c>
    </row>
    <row r="18" spans="1:16" ht="20.100000000000001" customHeight="1" thickBot="1" x14ac:dyDescent="0.55000000000000004">
      <c r="A18" s="15" t="s">
        <v>14</v>
      </c>
      <c r="B18" s="16" t="s">
        <v>37</v>
      </c>
      <c r="C18" s="16" t="s">
        <v>16</v>
      </c>
      <c r="D18" s="16" t="s">
        <v>17</v>
      </c>
      <c r="E18" s="17">
        <v>334</v>
      </c>
      <c r="F18" s="17">
        <v>350</v>
      </c>
      <c r="G18" s="16">
        <v>817</v>
      </c>
      <c r="H18" s="18">
        <v>34</v>
      </c>
      <c r="I18" s="60">
        <f t="shared" si="2"/>
        <v>334</v>
      </c>
      <c r="J18" s="60">
        <f t="shared" si="3"/>
        <v>350</v>
      </c>
      <c r="K18" s="51">
        <v>1750000</v>
      </c>
      <c r="L18" s="51">
        <v>310000</v>
      </c>
      <c r="M18" s="51">
        <v>370000</v>
      </c>
      <c r="N18" s="51">
        <v>1440000</v>
      </c>
      <c r="O18" s="51">
        <v>1070000</v>
      </c>
      <c r="P18" s="51">
        <v>370000</v>
      </c>
    </row>
    <row r="19" spans="1:16" ht="20.100000000000001" customHeight="1" thickBot="1" x14ac:dyDescent="0.55000000000000004">
      <c r="A19" s="15" t="s">
        <v>24</v>
      </c>
      <c r="B19" s="16" t="s">
        <v>38</v>
      </c>
      <c r="C19" s="16" t="s">
        <v>19</v>
      </c>
      <c r="D19" s="16" t="s">
        <v>17</v>
      </c>
      <c r="E19" s="17">
        <v>280</v>
      </c>
      <c r="F19" s="17">
        <v>287</v>
      </c>
      <c r="G19" s="16">
        <v>781</v>
      </c>
      <c r="H19" s="18">
        <v>33</v>
      </c>
      <c r="I19" s="60">
        <f t="shared" si="2"/>
        <v>280</v>
      </c>
      <c r="J19" s="60">
        <f t="shared" si="3"/>
        <v>287</v>
      </c>
      <c r="K19" s="51">
        <v>1590000</v>
      </c>
      <c r="L19" s="51">
        <v>270000</v>
      </c>
      <c r="M19" s="51">
        <v>310000</v>
      </c>
      <c r="N19" s="51">
        <v>1320000</v>
      </c>
      <c r="O19" s="51">
        <v>1010000</v>
      </c>
      <c r="P19" s="51">
        <v>450000</v>
      </c>
    </row>
    <row r="20" spans="1:16" ht="20.100000000000001" customHeight="1" thickBot="1" x14ac:dyDescent="0.55000000000000004">
      <c r="A20" s="15" t="s">
        <v>14</v>
      </c>
      <c r="B20" s="16" t="s">
        <v>39</v>
      </c>
      <c r="C20" s="16" t="s">
        <v>12</v>
      </c>
      <c r="D20" s="16" t="s">
        <v>13</v>
      </c>
      <c r="E20" s="17">
        <v>81</v>
      </c>
      <c r="F20" s="17">
        <v>88</v>
      </c>
      <c r="G20" s="16">
        <v>260</v>
      </c>
      <c r="H20" s="18">
        <v>13</v>
      </c>
      <c r="I20" s="60">
        <f t="shared" si="2"/>
        <v>81</v>
      </c>
      <c r="J20" s="60">
        <f t="shared" si="3"/>
        <v>88</v>
      </c>
      <c r="K20" s="51">
        <v>1080000</v>
      </c>
      <c r="L20" s="51">
        <v>200000</v>
      </c>
      <c r="M20" s="51">
        <v>130000</v>
      </c>
      <c r="N20" s="51">
        <v>880000</v>
      </c>
      <c r="O20" s="51">
        <v>750000</v>
      </c>
      <c r="P20" s="51">
        <v>390000</v>
      </c>
    </row>
    <row r="21" spans="1:16" ht="20.100000000000001" customHeight="1" thickBot="1" x14ac:dyDescent="0.55000000000000004">
      <c r="A21" s="15" t="s">
        <v>10</v>
      </c>
      <c r="B21" s="16" t="s">
        <v>40</v>
      </c>
      <c r="C21" s="16" t="s">
        <v>12</v>
      </c>
      <c r="D21" s="16" t="s">
        <v>13</v>
      </c>
      <c r="E21" s="17">
        <v>874</v>
      </c>
      <c r="F21" s="17">
        <v>994</v>
      </c>
      <c r="G21" s="16">
        <v>1900</v>
      </c>
      <c r="H21" s="18">
        <v>55</v>
      </c>
      <c r="I21" s="60">
        <f t="shared" si="2"/>
        <v>874</v>
      </c>
      <c r="J21" s="60">
        <f t="shared" si="3"/>
        <v>994</v>
      </c>
      <c r="K21" s="51">
        <v>3100000</v>
      </c>
      <c r="L21" s="51">
        <v>460000</v>
      </c>
      <c r="M21" s="51">
        <v>680000</v>
      </c>
      <c r="N21" s="51">
        <v>2640000</v>
      </c>
      <c r="O21" s="51">
        <v>1960000</v>
      </c>
      <c r="P21" s="51">
        <v>640000</v>
      </c>
    </row>
    <row r="22" spans="1:16" ht="20.100000000000001" customHeight="1" thickBot="1" x14ac:dyDescent="0.55000000000000004">
      <c r="A22" s="15" t="s">
        <v>20</v>
      </c>
      <c r="B22" s="16" t="s">
        <v>41</v>
      </c>
      <c r="C22" s="16" t="s">
        <v>19</v>
      </c>
      <c r="D22" s="16" t="s">
        <v>17</v>
      </c>
      <c r="E22" s="17">
        <v>360</v>
      </c>
      <c r="F22" s="17">
        <v>372</v>
      </c>
      <c r="G22" s="16">
        <v>722</v>
      </c>
      <c r="H22" s="18">
        <v>27</v>
      </c>
      <c r="I22" s="60">
        <f t="shared" si="2"/>
        <v>360</v>
      </c>
      <c r="J22" s="60">
        <f t="shared" si="3"/>
        <v>372</v>
      </c>
      <c r="K22" s="51">
        <v>1500000</v>
      </c>
      <c r="L22" s="51">
        <v>250000</v>
      </c>
      <c r="M22" s="51">
        <v>300000</v>
      </c>
      <c r="N22" s="51">
        <v>1250000</v>
      </c>
      <c r="O22" s="51">
        <v>950000</v>
      </c>
      <c r="P22" s="51">
        <v>260000</v>
      </c>
    </row>
    <row r="23" spans="1:16" ht="20.100000000000001" customHeight="1" thickBot="1" x14ac:dyDescent="0.55000000000000004">
      <c r="A23" s="15" t="s">
        <v>10</v>
      </c>
      <c r="B23" s="16" t="s">
        <v>42</v>
      </c>
      <c r="C23" s="16" t="s">
        <v>12</v>
      </c>
      <c r="D23" s="16" t="s">
        <v>13</v>
      </c>
      <c r="E23" s="17">
        <v>155</v>
      </c>
      <c r="F23" s="17">
        <v>180</v>
      </c>
      <c r="G23" s="16">
        <v>630</v>
      </c>
      <c r="H23" s="18">
        <v>19</v>
      </c>
      <c r="I23" s="60">
        <f t="shared" si="2"/>
        <v>155</v>
      </c>
      <c r="J23" s="60">
        <f t="shared" si="3"/>
        <v>180</v>
      </c>
      <c r="K23" s="51">
        <v>1250000</v>
      </c>
      <c r="L23" s="51">
        <v>220000</v>
      </c>
      <c r="M23" s="51">
        <v>230000</v>
      </c>
      <c r="N23" s="51">
        <v>1030000</v>
      </c>
      <c r="O23" s="51">
        <v>800000</v>
      </c>
      <c r="P23" s="51">
        <v>280000</v>
      </c>
    </row>
    <row r="24" spans="1:16" ht="20.100000000000001" customHeight="1" thickBot="1" x14ac:dyDescent="0.55000000000000004">
      <c r="A24" s="15" t="s">
        <v>10</v>
      </c>
      <c r="B24" s="16" t="s">
        <v>43</v>
      </c>
      <c r="C24" s="16" t="s">
        <v>19</v>
      </c>
      <c r="D24" s="16" t="s">
        <v>17</v>
      </c>
      <c r="E24" s="17">
        <v>107</v>
      </c>
      <c r="F24" s="17">
        <v>114</v>
      </c>
      <c r="G24" s="16">
        <v>228</v>
      </c>
      <c r="H24" s="18">
        <v>12</v>
      </c>
      <c r="I24" s="60">
        <f t="shared" si="2"/>
        <v>107</v>
      </c>
      <c r="J24" s="60">
        <f t="shared" si="3"/>
        <v>114</v>
      </c>
      <c r="K24" s="51">
        <v>700000</v>
      </c>
      <c r="L24" s="51">
        <v>130000</v>
      </c>
      <c r="M24" s="51">
        <v>150000</v>
      </c>
      <c r="N24" s="51">
        <v>570000</v>
      </c>
      <c r="O24" s="51">
        <v>420000</v>
      </c>
      <c r="P24" s="51">
        <v>110000</v>
      </c>
    </row>
    <row r="25" spans="1:16" ht="20.100000000000001" customHeight="1" thickBot="1" x14ac:dyDescent="0.55000000000000004">
      <c r="A25" s="15" t="s">
        <v>44</v>
      </c>
      <c r="B25" s="16" t="s">
        <v>45</v>
      </c>
      <c r="C25" s="16" t="s">
        <v>12</v>
      </c>
      <c r="D25" s="16" t="s">
        <v>13</v>
      </c>
      <c r="E25" s="17">
        <v>379</v>
      </c>
      <c r="F25" s="17">
        <v>400</v>
      </c>
      <c r="G25" s="16">
        <v>1510</v>
      </c>
      <c r="H25" s="18">
        <v>49</v>
      </c>
      <c r="I25" s="60">
        <f t="shared" si="2"/>
        <v>379</v>
      </c>
      <c r="J25" s="60">
        <f t="shared" si="3"/>
        <v>400</v>
      </c>
      <c r="K25" s="51">
        <v>1910000</v>
      </c>
      <c r="L25" s="51">
        <v>340000</v>
      </c>
      <c r="M25" s="51">
        <v>380000</v>
      </c>
      <c r="N25" s="51">
        <v>1570000</v>
      </c>
      <c r="O25" s="51">
        <v>1190000</v>
      </c>
      <c r="P25" s="51">
        <v>500000</v>
      </c>
    </row>
    <row r="26" spans="1:16" ht="20.100000000000001" customHeight="1" thickBot="1" x14ac:dyDescent="0.55000000000000004">
      <c r="A26" s="15" t="s">
        <v>10</v>
      </c>
      <c r="B26" s="16" t="s">
        <v>46</v>
      </c>
      <c r="C26" s="16" t="s">
        <v>12</v>
      </c>
      <c r="D26" s="16" t="s">
        <v>13</v>
      </c>
      <c r="E26" s="17">
        <v>1086</v>
      </c>
      <c r="F26" s="17">
        <v>1116</v>
      </c>
      <c r="G26" s="16">
        <v>2818</v>
      </c>
      <c r="H26" s="18">
        <v>88</v>
      </c>
      <c r="I26" s="60">
        <f t="shared" si="2"/>
        <v>1086</v>
      </c>
      <c r="J26" s="60">
        <f t="shared" si="3"/>
        <v>1116</v>
      </c>
      <c r="K26" s="51">
        <v>4730000</v>
      </c>
      <c r="L26" s="51">
        <v>790000</v>
      </c>
      <c r="M26" s="51">
        <v>920000</v>
      </c>
      <c r="N26" s="51">
        <v>3940000</v>
      </c>
      <c r="O26" s="51">
        <v>3020000</v>
      </c>
      <c r="P26" s="51">
        <v>1130000</v>
      </c>
    </row>
    <row r="27" spans="1:16" ht="20.100000000000001" customHeight="1" thickBot="1" x14ac:dyDescent="0.55000000000000004">
      <c r="A27" s="15" t="s">
        <v>14</v>
      </c>
      <c r="B27" s="16" t="s">
        <v>47</v>
      </c>
      <c r="C27" s="16" t="s">
        <v>12</v>
      </c>
      <c r="D27" s="16" t="s">
        <v>13</v>
      </c>
      <c r="E27" s="17">
        <v>464</v>
      </c>
      <c r="F27" s="17">
        <v>472</v>
      </c>
      <c r="G27" s="16">
        <v>1289</v>
      </c>
      <c r="H27" s="18">
        <v>37</v>
      </c>
      <c r="I27" s="60">
        <f t="shared" si="2"/>
        <v>464</v>
      </c>
      <c r="J27" s="60">
        <f t="shared" si="3"/>
        <v>472</v>
      </c>
      <c r="K27" s="51">
        <v>2140000</v>
      </c>
      <c r="L27" s="51">
        <v>350000</v>
      </c>
      <c r="M27" s="51">
        <v>400000</v>
      </c>
      <c r="N27" s="51">
        <v>1790000</v>
      </c>
      <c r="O27" s="51">
        <v>1390000</v>
      </c>
      <c r="P27" s="51">
        <v>390000</v>
      </c>
    </row>
    <row r="28" spans="1:16" ht="20.100000000000001" customHeight="1" thickBot="1" x14ac:dyDescent="0.55000000000000004">
      <c r="A28" s="15" t="s">
        <v>10</v>
      </c>
      <c r="B28" s="16" t="s">
        <v>48</v>
      </c>
      <c r="C28" s="16" t="s">
        <v>16</v>
      </c>
      <c r="D28" s="16" t="s">
        <v>17</v>
      </c>
      <c r="E28" s="17">
        <v>1687</v>
      </c>
      <c r="F28" s="17">
        <v>1751</v>
      </c>
      <c r="G28" s="16">
        <v>2421</v>
      </c>
      <c r="H28" s="18">
        <v>80</v>
      </c>
      <c r="I28" s="60">
        <f t="shared" si="2"/>
        <v>1687</v>
      </c>
      <c r="J28" s="60">
        <f t="shared" si="3"/>
        <v>1751</v>
      </c>
      <c r="K28" s="51">
        <v>4870000</v>
      </c>
      <c r="L28" s="51">
        <v>690000</v>
      </c>
      <c r="M28" s="51">
        <v>1080000</v>
      </c>
      <c r="N28" s="51">
        <v>4180000</v>
      </c>
      <c r="O28" s="51">
        <v>3100000</v>
      </c>
      <c r="P28" s="51">
        <v>980000</v>
      </c>
    </row>
    <row r="29" spans="1:16" ht="20.100000000000001" customHeight="1" thickBot="1" x14ac:dyDescent="0.55000000000000004">
      <c r="A29" s="15" t="s">
        <v>10</v>
      </c>
      <c r="B29" s="16" t="s">
        <v>49</v>
      </c>
      <c r="C29" s="16" t="s">
        <v>19</v>
      </c>
      <c r="D29" s="16" t="s">
        <v>17</v>
      </c>
      <c r="E29" s="17">
        <v>427</v>
      </c>
      <c r="F29" s="17">
        <v>433</v>
      </c>
      <c r="G29" s="16">
        <v>971</v>
      </c>
      <c r="H29" s="18">
        <v>33</v>
      </c>
      <c r="I29" s="60">
        <f t="shared" si="2"/>
        <v>427</v>
      </c>
      <c r="J29" s="60">
        <f t="shared" si="3"/>
        <v>433</v>
      </c>
      <c r="K29" s="51">
        <v>1840000</v>
      </c>
      <c r="L29" s="51">
        <v>310000</v>
      </c>
      <c r="M29" s="51">
        <v>380000</v>
      </c>
      <c r="N29" s="51">
        <v>1530000</v>
      </c>
      <c r="O29" s="51">
        <v>1150000</v>
      </c>
      <c r="P29" s="51">
        <v>280000</v>
      </c>
    </row>
    <row r="30" spans="1:16" ht="20.100000000000001" customHeight="1" thickBot="1" x14ac:dyDescent="0.55000000000000004">
      <c r="A30" s="15" t="s">
        <v>44</v>
      </c>
      <c r="B30" s="16" t="s">
        <v>50</v>
      </c>
      <c r="C30" s="16" t="s">
        <v>12</v>
      </c>
      <c r="D30" s="16" t="s">
        <v>13</v>
      </c>
      <c r="E30" s="17">
        <v>534</v>
      </c>
      <c r="F30" s="17">
        <v>713</v>
      </c>
      <c r="G30" s="16">
        <v>1561</v>
      </c>
      <c r="H30" s="18">
        <v>50</v>
      </c>
      <c r="I30" s="60">
        <f t="shared" si="2"/>
        <v>534</v>
      </c>
      <c r="J30" s="60">
        <f t="shared" si="3"/>
        <v>713</v>
      </c>
      <c r="K30" s="51">
        <v>2530000</v>
      </c>
      <c r="L30" s="51">
        <v>420000</v>
      </c>
      <c r="M30" s="51">
        <v>460000</v>
      </c>
      <c r="N30" s="51">
        <v>2110000</v>
      </c>
      <c r="O30" s="51">
        <v>1650000</v>
      </c>
      <c r="P30" s="51">
        <v>770000</v>
      </c>
    </row>
    <row r="31" spans="1:16" ht="20.100000000000001" customHeight="1" thickBot="1" x14ac:dyDescent="0.55000000000000004">
      <c r="A31" s="15" t="s">
        <v>24</v>
      </c>
      <c r="B31" s="16" t="s">
        <v>51</v>
      </c>
      <c r="C31" s="16" t="s">
        <v>16</v>
      </c>
      <c r="D31" s="16" t="s">
        <v>17</v>
      </c>
      <c r="E31" s="17">
        <v>347</v>
      </c>
      <c r="F31" s="17">
        <v>361</v>
      </c>
      <c r="G31" s="16">
        <v>979</v>
      </c>
      <c r="H31" s="18">
        <v>41</v>
      </c>
      <c r="I31" s="60">
        <f t="shared" si="2"/>
        <v>347</v>
      </c>
      <c r="J31" s="60">
        <f t="shared" si="3"/>
        <v>361</v>
      </c>
      <c r="K31" s="51">
        <v>1760000</v>
      </c>
      <c r="L31" s="51">
        <v>300000</v>
      </c>
      <c r="M31" s="51">
        <v>350000</v>
      </c>
      <c r="N31" s="51">
        <v>1460000</v>
      </c>
      <c r="O31" s="51">
        <v>1110000</v>
      </c>
      <c r="P31" s="51">
        <v>450000</v>
      </c>
    </row>
    <row r="32" spans="1:16" ht="20.100000000000001" customHeight="1" thickBot="1" x14ac:dyDescent="0.55000000000000004">
      <c r="A32" s="15" t="s">
        <v>44</v>
      </c>
      <c r="B32" s="16" t="s">
        <v>52</v>
      </c>
      <c r="C32" s="16" t="s">
        <v>53</v>
      </c>
      <c r="D32" s="16" t="s">
        <v>54</v>
      </c>
      <c r="E32" s="17">
        <v>1325</v>
      </c>
      <c r="F32" s="17">
        <v>1394</v>
      </c>
      <c r="G32" s="16">
        <v>2373</v>
      </c>
      <c r="H32" s="18">
        <v>74</v>
      </c>
      <c r="I32" s="60">
        <f t="shared" si="2"/>
        <v>1325</v>
      </c>
      <c r="J32" s="60">
        <f t="shared" si="3"/>
        <v>1394</v>
      </c>
      <c r="K32" s="51">
        <v>4400000</v>
      </c>
      <c r="L32" s="51">
        <v>640000</v>
      </c>
      <c r="M32" s="51">
        <v>910000</v>
      </c>
      <c r="N32" s="51">
        <v>3760000</v>
      </c>
      <c r="O32" s="51">
        <v>2850000</v>
      </c>
      <c r="P32" s="51">
        <v>910000</v>
      </c>
    </row>
    <row r="33" spans="1:16" ht="20.100000000000001" customHeight="1" thickBot="1" x14ac:dyDescent="0.55000000000000004">
      <c r="A33" s="15" t="s">
        <v>14</v>
      </c>
      <c r="B33" s="16" t="s">
        <v>55</v>
      </c>
      <c r="C33" s="16" t="s">
        <v>12</v>
      </c>
      <c r="D33" s="16" t="s">
        <v>13</v>
      </c>
      <c r="E33" s="17">
        <v>227</v>
      </c>
      <c r="F33" s="17">
        <v>249</v>
      </c>
      <c r="G33" s="16">
        <v>942</v>
      </c>
      <c r="H33" s="18">
        <v>29</v>
      </c>
      <c r="I33" s="60">
        <v>212</v>
      </c>
      <c r="J33" s="60">
        <v>213</v>
      </c>
      <c r="K33" s="51">
        <v>1300000</v>
      </c>
      <c r="L33" s="51">
        <v>220000</v>
      </c>
      <c r="M33" s="51">
        <v>220000</v>
      </c>
      <c r="N33" s="51">
        <v>1080000</v>
      </c>
      <c r="O33" s="51">
        <v>860000</v>
      </c>
      <c r="P33" s="51">
        <v>360000</v>
      </c>
    </row>
    <row r="34" spans="1:16" ht="20.100000000000001" customHeight="1" thickBot="1" x14ac:dyDescent="0.55000000000000004">
      <c r="A34" s="15" t="s">
        <v>44</v>
      </c>
      <c r="B34" s="16" t="s">
        <v>56</v>
      </c>
      <c r="C34" s="16" t="s">
        <v>16</v>
      </c>
      <c r="D34" s="16" t="s">
        <v>13</v>
      </c>
      <c r="E34" s="17">
        <v>651</v>
      </c>
      <c r="F34" s="17">
        <v>673</v>
      </c>
      <c r="G34" s="16">
        <v>2000</v>
      </c>
      <c r="H34" s="18">
        <v>62</v>
      </c>
      <c r="I34" s="60">
        <f t="shared" si="2"/>
        <v>651</v>
      </c>
      <c r="J34" s="60">
        <f t="shared" si="3"/>
        <v>673</v>
      </c>
      <c r="K34" s="51">
        <v>3180000</v>
      </c>
      <c r="L34" s="51">
        <v>560000</v>
      </c>
      <c r="M34" s="51">
        <v>610000</v>
      </c>
      <c r="N34" s="51">
        <v>2620000</v>
      </c>
      <c r="O34" s="51">
        <v>2010000</v>
      </c>
      <c r="P34" s="51">
        <v>820000</v>
      </c>
    </row>
    <row r="35" spans="1:16" ht="20.100000000000001" customHeight="1" thickBot="1" x14ac:dyDescent="0.55000000000000004">
      <c r="A35" s="15" t="s">
        <v>10</v>
      </c>
      <c r="B35" s="16" t="s">
        <v>57</v>
      </c>
      <c r="C35" s="16" t="s">
        <v>22</v>
      </c>
      <c r="D35" s="16" t="s">
        <v>17</v>
      </c>
      <c r="E35" s="17">
        <v>687</v>
      </c>
      <c r="F35" s="17">
        <v>766</v>
      </c>
      <c r="G35" s="16">
        <v>1762</v>
      </c>
      <c r="H35" s="18">
        <v>70</v>
      </c>
      <c r="I35" s="60">
        <f t="shared" si="2"/>
        <v>687</v>
      </c>
      <c r="J35" s="60">
        <f t="shared" si="3"/>
        <v>766</v>
      </c>
      <c r="K35" s="51">
        <v>3610000</v>
      </c>
      <c r="L35" s="51">
        <v>610000</v>
      </c>
      <c r="M35" s="51">
        <v>620000</v>
      </c>
      <c r="N35" s="51">
        <v>3000000</v>
      </c>
      <c r="O35" s="51">
        <v>2380000</v>
      </c>
      <c r="P35" s="51">
        <v>680000</v>
      </c>
    </row>
    <row r="36" spans="1:16" ht="20.100000000000001" customHeight="1" thickBot="1" x14ac:dyDescent="0.55000000000000004">
      <c r="A36" s="15" t="s">
        <v>10</v>
      </c>
      <c r="B36" s="16" t="s">
        <v>58</v>
      </c>
      <c r="C36" s="16" t="s">
        <v>19</v>
      </c>
      <c r="D36" s="16" t="s">
        <v>17</v>
      </c>
      <c r="E36" s="17">
        <v>372</v>
      </c>
      <c r="F36" s="17">
        <v>388</v>
      </c>
      <c r="G36" s="16">
        <v>735</v>
      </c>
      <c r="H36" s="18">
        <v>34</v>
      </c>
      <c r="I36" s="60">
        <f t="shared" si="2"/>
        <v>372</v>
      </c>
      <c r="J36" s="60">
        <f t="shared" si="3"/>
        <v>388</v>
      </c>
      <c r="K36" s="51">
        <v>1760000</v>
      </c>
      <c r="L36" s="51">
        <v>300000</v>
      </c>
      <c r="M36" s="51">
        <v>350000</v>
      </c>
      <c r="N36" s="51">
        <v>1460000</v>
      </c>
      <c r="O36" s="51">
        <v>1110000</v>
      </c>
      <c r="P36" s="51">
        <v>280000</v>
      </c>
    </row>
    <row r="37" spans="1:16" ht="20.100000000000001" customHeight="1" thickBot="1" x14ac:dyDescent="0.55000000000000004">
      <c r="A37" s="15" t="s">
        <v>14</v>
      </c>
      <c r="B37" s="16" t="s">
        <v>59</v>
      </c>
      <c r="C37" s="16" t="s">
        <v>22</v>
      </c>
      <c r="D37" s="16" t="s">
        <v>13</v>
      </c>
      <c r="E37" s="17">
        <v>845</v>
      </c>
      <c r="F37" s="17">
        <v>881</v>
      </c>
      <c r="G37" s="16">
        <v>1350</v>
      </c>
      <c r="H37" s="18">
        <v>37</v>
      </c>
      <c r="I37" s="60">
        <f t="shared" si="2"/>
        <v>845</v>
      </c>
      <c r="J37" s="60">
        <f t="shared" si="3"/>
        <v>881</v>
      </c>
      <c r="K37" s="51">
        <v>2440000</v>
      </c>
      <c r="L37" s="51">
        <v>360000</v>
      </c>
      <c r="M37" s="51">
        <v>510000</v>
      </c>
      <c r="N37" s="51">
        <v>2080000</v>
      </c>
      <c r="O37" s="51">
        <v>1570000</v>
      </c>
      <c r="P37" s="51">
        <v>370000</v>
      </c>
    </row>
    <row r="38" spans="1:16" ht="20.100000000000001" customHeight="1" thickBot="1" x14ac:dyDescent="0.55000000000000004">
      <c r="A38" s="15" t="s">
        <v>20</v>
      </c>
      <c r="B38" s="16" t="s">
        <v>60</v>
      </c>
      <c r="C38" s="16" t="s">
        <v>19</v>
      </c>
      <c r="D38" s="16" t="s">
        <v>17</v>
      </c>
      <c r="E38" s="17">
        <v>537</v>
      </c>
      <c r="F38" s="17">
        <v>566</v>
      </c>
      <c r="G38" s="16">
        <v>868</v>
      </c>
      <c r="H38" s="18">
        <v>38</v>
      </c>
      <c r="I38" s="60">
        <f t="shared" si="2"/>
        <v>537</v>
      </c>
      <c r="J38" s="60">
        <f t="shared" si="3"/>
        <v>566</v>
      </c>
      <c r="K38" s="51">
        <v>2650000</v>
      </c>
      <c r="L38" s="51">
        <v>400000</v>
      </c>
      <c r="M38" s="51">
        <v>430000</v>
      </c>
      <c r="N38" s="51">
        <v>2250000</v>
      </c>
      <c r="O38" s="51">
        <v>1820000</v>
      </c>
      <c r="P38" s="51">
        <v>210000</v>
      </c>
    </row>
    <row r="39" spans="1:16" ht="20.100000000000001" customHeight="1" thickBot="1" x14ac:dyDescent="0.55000000000000004">
      <c r="A39" s="15" t="s">
        <v>10</v>
      </c>
      <c r="B39" s="16" t="s">
        <v>61</v>
      </c>
      <c r="C39" s="16" t="s">
        <v>16</v>
      </c>
      <c r="D39" s="16" t="s">
        <v>17</v>
      </c>
      <c r="E39" s="17">
        <v>308</v>
      </c>
      <c r="F39" s="17">
        <v>338</v>
      </c>
      <c r="G39" s="16">
        <v>750</v>
      </c>
      <c r="H39" s="18">
        <v>22</v>
      </c>
      <c r="I39" s="60">
        <f t="shared" si="2"/>
        <v>308</v>
      </c>
      <c r="J39" s="60">
        <f t="shared" si="3"/>
        <v>338</v>
      </c>
      <c r="K39" s="51">
        <v>1380000</v>
      </c>
      <c r="L39" s="51">
        <v>220000</v>
      </c>
      <c r="M39" s="51">
        <v>260000</v>
      </c>
      <c r="N39" s="51">
        <v>1160000</v>
      </c>
      <c r="O39" s="51">
        <v>900000</v>
      </c>
      <c r="P39" s="51">
        <v>350000</v>
      </c>
    </row>
    <row r="40" spans="1:16" ht="20.100000000000001" customHeight="1" thickBot="1" x14ac:dyDescent="0.55000000000000004">
      <c r="A40" s="15" t="s">
        <v>14</v>
      </c>
      <c r="B40" s="16" t="s">
        <v>62</v>
      </c>
      <c r="C40" s="16" t="s">
        <v>16</v>
      </c>
      <c r="D40" s="16" t="s">
        <v>13</v>
      </c>
      <c r="E40" s="17">
        <v>392</v>
      </c>
      <c r="F40" s="17">
        <v>399</v>
      </c>
      <c r="G40" s="16">
        <v>1570</v>
      </c>
      <c r="H40" s="18">
        <v>47</v>
      </c>
      <c r="I40" s="60">
        <f t="shared" si="2"/>
        <v>392</v>
      </c>
      <c r="J40" s="60">
        <f t="shared" si="3"/>
        <v>399</v>
      </c>
      <c r="K40" s="51">
        <v>2480000</v>
      </c>
      <c r="L40" s="51">
        <v>420000</v>
      </c>
      <c r="M40" s="51">
        <v>450000</v>
      </c>
      <c r="N40" s="51">
        <v>2060000</v>
      </c>
      <c r="O40" s="51">
        <v>1610000</v>
      </c>
      <c r="P40" s="51">
        <v>600000</v>
      </c>
    </row>
    <row r="41" spans="1:16" ht="20.100000000000001" customHeight="1" thickBot="1" x14ac:dyDescent="0.55000000000000004">
      <c r="A41" s="15" t="s">
        <v>10</v>
      </c>
      <c r="B41" s="16" t="s">
        <v>63</v>
      </c>
      <c r="C41" s="16" t="s">
        <v>19</v>
      </c>
      <c r="D41" s="16" t="s">
        <v>17</v>
      </c>
      <c r="E41" s="17">
        <v>268</v>
      </c>
      <c r="F41" s="17">
        <v>269</v>
      </c>
      <c r="G41" s="16">
        <v>562</v>
      </c>
      <c r="H41" s="18">
        <v>26</v>
      </c>
      <c r="I41" s="60">
        <f t="shared" si="2"/>
        <v>268</v>
      </c>
      <c r="J41" s="60">
        <f t="shared" si="3"/>
        <v>269</v>
      </c>
      <c r="K41" s="51">
        <v>1260000</v>
      </c>
      <c r="L41" s="51">
        <v>220000</v>
      </c>
      <c r="M41" s="51">
        <v>270000</v>
      </c>
      <c r="N41" s="51">
        <v>1040000</v>
      </c>
      <c r="O41" s="51">
        <v>770000</v>
      </c>
      <c r="P41" s="51">
        <v>240000</v>
      </c>
    </row>
    <row r="42" spans="1:16" ht="20.100000000000001" customHeight="1" thickBot="1" x14ac:dyDescent="0.55000000000000004">
      <c r="A42" s="15" t="s">
        <v>14</v>
      </c>
      <c r="B42" s="16" t="s">
        <v>64</v>
      </c>
      <c r="C42" s="16" t="s">
        <v>16</v>
      </c>
      <c r="D42" s="16" t="s">
        <v>13</v>
      </c>
      <c r="E42" s="17">
        <v>461</v>
      </c>
      <c r="F42" s="17">
        <v>471</v>
      </c>
      <c r="G42" s="16">
        <v>1150</v>
      </c>
      <c r="H42" s="18">
        <v>43</v>
      </c>
      <c r="I42" s="60">
        <f t="shared" si="2"/>
        <v>461</v>
      </c>
      <c r="J42" s="60">
        <f t="shared" si="3"/>
        <v>471</v>
      </c>
      <c r="K42" s="51">
        <v>1900000</v>
      </c>
      <c r="L42" s="51">
        <v>320000</v>
      </c>
      <c r="M42" s="51">
        <v>410000</v>
      </c>
      <c r="N42" s="51">
        <v>1580000</v>
      </c>
      <c r="O42" s="51">
        <v>1170000</v>
      </c>
      <c r="P42" s="51">
        <v>440000</v>
      </c>
    </row>
    <row r="43" spans="1:16" ht="20.100000000000001" customHeight="1" thickBot="1" x14ac:dyDescent="0.55000000000000004">
      <c r="A43" s="15" t="s">
        <v>10</v>
      </c>
      <c r="B43" s="16" t="s">
        <v>65</v>
      </c>
      <c r="C43" s="16" t="s">
        <v>12</v>
      </c>
      <c r="D43" s="16" t="s">
        <v>13</v>
      </c>
      <c r="E43" s="17">
        <v>827</v>
      </c>
      <c r="F43" s="17">
        <v>949</v>
      </c>
      <c r="G43" s="16">
        <v>1541</v>
      </c>
      <c r="H43" s="18">
        <v>45</v>
      </c>
      <c r="I43" s="60">
        <f t="shared" si="2"/>
        <v>827</v>
      </c>
      <c r="J43" s="60">
        <f t="shared" si="3"/>
        <v>949</v>
      </c>
      <c r="K43" s="51">
        <v>2830000</v>
      </c>
      <c r="L43" s="51">
        <v>420000</v>
      </c>
      <c r="M43" s="51">
        <v>580000</v>
      </c>
      <c r="N43" s="51">
        <v>2410000</v>
      </c>
      <c r="O43" s="51">
        <v>1830000</v>
      </c>
      <c r="P43" s="51">
        <v>530000</v>
      </c>
    </row>
    <row r="44" spans="1:16" ht="20.100000000000001" customHeight="1" thickBot="1" x14ac:dyDescent="0.55000000000000004">
      <c r="A44" s="15" t="s">
        <v>10</v>
      </c>
      <c r="B44" s="16" t="s">
        <v>66</v>
      </c>
      <c r="C44" s="16" t="s">
        <v>19</v>
      </c>
      <c r="D44" s="16" t="s">
        <v>17</v>
      </c>
      <c r="E44" s="17">
        <v>498</v>
      </c>
      <c r="F44" s="17">
        <v>510</v>
      </c>
      <c r="G44" s="16">
        <v>1310</v>
      </c>
      <c r="H44" s="18">
        <v>55</v>
      </c>
      <c r="I44" s="60">
        <f t="shared" si="2"/>
        <v>498</v>
      </c>
      <c r="J44" s="60">
        <f t="shared" si="3"/>
        <v>510</v>
      </c>
      <c r="K44" s="51">
        <v>2150000</v>
      </c>
      <c r="L44" s="51">
        <v>380000</v>
      </c>
      <c r="M44" s="51">
        <v>450000</v>
      </c>
      <c r="N44" s="51">
        <v>1770000</v>
      </c>
      <c r="O44" s="51">
        <v>1320000</v>
      </c>
      <c r="P44" s="51">
        <v>450000</v>
      </c>
    </row>
    <row r="45" spans="1:16" ht="20.100000000000001" customHeight="1" thickBot="1" x14ac:dyDescent="0.55000000000000004">
      <c r="A45" s="19" t="s">
        <v>24</v>
      </c>
      <c r="B45" s="20" t="s">
        <v>67</v>
      </c>
      <c r="C45" s="20" t="s">
        <v>16</v>
      </c>
      <c r="D45" s="20" t="s">
        <v>17</v>
      </c>
      <c r="E45" s="21">
        <v>635</v>
      </c>
      <c r="F45" s="21">
        <v>698</v>
      </c>
      <c r="G45" s="20">
        <v>1623</v>
      </c>
      <c r="H45" s="22">
        <v>61</v>
      </c>
      <c r="I45" s="60">
        <f t="shared" si="2"/>
        <v>635</v>
      </c>
      <c r="J45" s="60">
        <f t="shared" si="3"/>
        <v>698</v>
      </c>
      <c r="K45" s="52">
        <v>2860000</v>
      </c>
      <c r="L45" s="52">
        <v>480000</v>
      </c>
      <c r="M45" s="52">
        <v>590000</v>
      </c>
      <c r="N45" s="52">
        <v>2380000</v>
      </c>
      <c r="O45" s="52">
        <v>1790000</v>
      </c>
      <c r="P45" s="52">
        <v>690000</v>
      </c>
    </row>
    <row r="46" spans="1:16" ht="20.100000000000001" customHeight="1" thickBot="1" x14ac:dyDescent="0.55000000000000004">
      <c r="A46" s="4"/>
      <c r="B46" s="5"/>
      <c r="C46" s="5"/>
      <c r="D46" s="6" t="s">
        <v>68</v>
      </c>
      <c r="E46" s="7">
        <f>SUM(E2:E45)</f>
        <v>26797</v>
      </c>
      <c r="F46" s="7">
        <f t="shared" ref="F46:G46" si="4">SUM(F2:F45)</f>
        <v>29213</v>
      </c>
      <c r="G46" s="7">
        <f t="shared" si="4"/>
        <v>59069</v>
      </c>
      <c r="H46" s="7">
        <f t="shared" ref="H46" si="5">SUM(H2:H45)</f>
        <v>2040</v>
      </c>
      <c r="I46" s="7">
        <f t="shared" ref="I46" si="6">SUM(I2:I45)</f>
        <v>26782</v>
      </c>
      <c r="J46" s="7">
        <f t="shared" ref="J46" si="7">SUM(J2:J45)</f>
        <v>29177</v>
      </c>
      <c r="K46" s="53">
        <v>108930000</v>
      </c>
      <c r="L46" s="53">
        <v>17470000</v>
      </c>
      <c r="M46" s="53">
        <v>22010000</v>
      </c>
      <c r="N46" s="53">
        <v>91460000</v>
      </c>
      <c r="O46" s="53">
        <v>69450000</v>
      </c>
      <c r="P46" s="53">
        <v>23050000</v>
      </c>
    </row>
  </sheetData>
  <sheetProtection algorithmName="SHA-512" hashValue="Lsh7semRPKz1cohTHl5agWS0XtaHNn2fLdFmv+HvLLjtK+xoWEGTxNCoT3z7Gz17Nzy1u+qDURhmZmZ/HhgHgg==" saltValue="V48KoOfFyIr9UblXYAkByQ==" spinCount="100000" sheet="1" objects="1" scenarios="1"/>
  <autoFilter ref="A1:H46"/>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4" sqref="B4"/>
    </sheetView>
  </sheetViews>
  <sheetFormatPr defaultColWidth="21.140625" defaultRowHeight="15" x14ac:dyDescent="0.25"/>
  <sheetData>
    <row r="1" spans="1:3" x14ac:dyDescent="0.25">
      <c r="A1" s="103" t="s">
        <v>93</v>
      </c>
      <c r="B1" s="12" t="s">
        <v>12</v>
      </c>
      <c r="C1" s="31">
        <v>13.52</v>
      </c>
    </row>
    <row r="2" spans="1:3" x14ac:dyDescent="0.25">
      <c r="A2" s="104"/>
      <c r="B2" s="16" t="s">
        <v>16</v>
      </c>
      <c r="C2" s="29">
        <v>13.52</v>
      </c>
    </row>
    <row r="3" spans="1:3" x14ac:dyDescent="0.25">
      <c r="A3" s="104"/>
      <c r="B3" s="16" t="s">
        <v>19</v>
      </c>
      <c r="C3" s="29">
        <v>12.09</v>
      </c>
    </row>
    <row r="4" spans="1:3" x14ac:dyDescent="0.25">
      <c r="A4" s="104"/>
      <c r="B4" s="16" t="s">
        <v>22</v>
      </c>
      <c r="C4" s="29">
        <v>13.52</v>
      </c>
    </row>
    <row r="5" spans="1:3" ht="26.25" thickBot="1" x14ac:dyDescent="0.3">
      <c r="A5" s="105"/>
      <c r="B5" s="20" t="s">
        <v>53</v>
      </c>
      <c r="C5" s="32">
        <v>0</v>
      </c>
    </row>
  </sheetData>
  <mergeCells count="1">
    <mergeCell ref="A1:A5"/>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SUMMARY</vt:lpstr>
      <vt:lpstr>Expense Projections</vt:lpstr>
      <vt:lpstr>Chart</vt:lpstr>
      <vt:lpstr>Town Data</vt:lpstr>
      <vt:lpstr>Lookup</vt:lpstr>
      <vt:lpstr>DropPercent</vt:lpstr>
      <vt:lpstr>MarketSize</vt:lpstr>
      <vt:lpstr>PremiseCount</vt:lpstr>
      <vt:lpstr>'Expense Projections'!Print_Area</vt:lpstr>
      <vt:lpstr>SUMMARY!Print_Area</vt:lpstr>
      <vt:lpstr>'Expense Projections'!Print_Titles</vt:lpstr>
      <vt:lpstr>SeasonalCount</vt:lpstr>
      <vt:lpstr>seasonalEffectiveCount</vt:lpstr>
      <vt:lpstr>SeasonalMonths</vt:lpstr>
      <vt:lpstr>SeasonalPercent</vt:lpstr>
      <vt:lpstr>takerate</vt:lpstr>
      <vt:lpstr>TOWN</vt:lpstr>
      <vt:lpstr>townlist</vt:lpstr>
      <vt:lpstr>units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Todd Corcoran</cp:lastModifiedBy>
  <cp:lastPrinted>2016-06-17T13:16:01Z</cp:lastPrinted>
  <dcterms:created xsi:type="dcterms:W3CDTF">2016-03-09T15:40:53Z</dcterms:created>
  <dcterms:modified xsi:type="dcterms:W3CDTF">2016-08-24T11:16:42Z</dcterms:modified>
</cp:coreProperties>
</file>