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31"/>
  <workbookPr autoCompressPictures="0"/>
  <bookViews>
    <workbookView xWindow="30120" yWindow="2760" windowWidth="27800" windowHeight="22840"/>
  </bookViews>
  <sheets>
    <sheet name="Proposal" sheetId="1" r:id="rId1"/>
    <sheet name="Towns" sheetId="4" r:id="rId2"/>
    <sheet name="Construction Costs" sheetId="7" r:id="rId3"/>
    <sheet name="Variables" sheetId="2" r:id="rId4"/>
  </sheets>
  <definedNames>
    <definedName name="_xlnm._FilterDatabase" localSheetId="1" hidden="1">Towns!$A$1:$AE$2</definedName>
    <definedName name="ConstFiberLF">'Construction Costs'!$B$5</definedName>
    <definedName name="ConstMilePerDay">Proposal!$B$105</definedName>
    <definedName name="ConstMST">'Construction Costs'!$B$6</definedName>
    <definedName name="ConstSplice">'Construction Costs'!$B$7</definedName>
    <definedName name="ConstStrandLF">'Construction Costs'!$B$4</definedName>
    <definedName name="ConstTest">'Construction Costs'!$B$8</definedName>
    <definedName name="Delay">Proposal!$B$84</definedName>
    <definedName name="DesignPerDay">Proposal!$B$94</definedName>
    <definedName name="Holidays">Variables!$A2:$A37</definedName>
    <definedName name="PDusPerMileWFLD">'Construction Costs'!$B$1</definedName>
    <definedName name="PoleAppsPerDay">Proposal!$B$98</definedName>
    <definedName name="_xlnm.Print_Titles" localSheetId="0">Proposal!$1:$2</definedName>
    <definedName name="SplicePerMST">'Construction Costs'!$B$11</definedName>
    <definedName name="Status">Variables!$B$2:$B$20</definedName>
    <definedName name="SubsPerMST">'Construction Costs'!$B$10</definedName>
    <definedName name="SurveyPolePerDay">Proposal!$B$92</definedName>
    <definedName name="Town">Towns!$C:$C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1" i="1"/>
  <c r="C61" i="1"/>
  <c r="C12" i="1"/>
  <c r="C14" i="1"/>
  <c r="C15" i="1"/>
  <c r="C16" i="1"/>
  <c r="C35" i="1"/>
  <c r="C7" i="1"/>
  <c r="C44" i="1"/>
  <c r="C45" i="1"/>
  <c r="C46" i="1"/>
  <c r="C51" i="1"/>
  <c r="C52" i="1"/>
  <c r="C49" i="1"/>
  <c r="C54" i="1"/>
  <c r="C40" i="1"/>
  <c r="C64" i="1"/>
  <c r="C34" i="1"/>
  <c r="C47" i="1"/>
  <c r="C39" i="1"/>
  <c r="C65" i="1"/>
  <c r="C66" i="1"/>
  <c r="C33" i="1"/>
  <c r="C42" i="1"/>
  <c r="C105" i="1"/>
  <c r="C56" i="1"/>
  <c r="C67" i="1"/>
  <c r="C68" i="1"/>
  <c r="C70" i="1"/>
  <c r="C72" i="1"/>
  <c r="C73" i="1"/>
  <c r="AD2" i="4"/>
  <c r="C2" i="1"/>
  <c r="C75" i="1"/>
  <c r="C74" i="1"/>
  <c r="B56" i="1"/>
  <c r="C6" i="1"/>
  <c r="C5" i="1"/>
  <c r="B46" i="1"/>
  <c r="B54" i="1"/>
  <c r="B47" i="1"/>
  <c r="B52" i="1"/>
  <c r="B49" i="1"/>
  <c r="B1" i="7"/>
  <c r="B43" i="1"/>
  <c r="B50" i="1"/>
  <c r="B40" i="1"/>
  <c r="B16" i="7"/>
  <c r="B20" i="7"/>
  <c r="B24" i="7"/>
  <c r="B30" i="1"/>
  <c r="B32" i="7"/>
  <c r="B35" i="7"/>
  <c r="B36" i="7"/>
  <c r="B37" i="7"/>
  <c r="B39" i="7"/>
  <c r="B34" i="1"/>
  <c r="B39" i="1"/>
  <c r="B41" i="7"/>
  <c r="B44" i="7"/>
  <c r="B48" i="7"/>
  <c r="B38" i="1"/>
  <c r="B42" i="1"/>
  <c r="B29" i="1"/>
  <c r="B37" i="1"/>
  <c r="B35" i="1"/>
  <c r="C19" i="1"/>
  <c r="C59" i="1"/>
  <c r="C88" i="1"/>
  <c r="C91" i="1"/>
  <c r="V2" i="4"/>
  <c r="B33" i="1"/>
  <c r="C38" i="1"/>
  <c r="C9" i="1"/>
  <c r="C31" i="1"/>
  <c r="C94" i="1"/>
  <c r="C99" i="1"/>
  <c r="C98" i="1"/>
  <c r="C13" i="1"/>
  <c r="C92" i="1"/>
  <c r="C93" i="1"/>
  <c r="C22" i="1"/>
  <c r="C23" i="1"/>
  <c r="C20" i="1"/>
  <c r="C37" i="1"/>
  <c r="C27" i="1"/>
  <c r="C30" i="1"/>
  <c r="C95" i="1"/>
  <c r="C100" i="1"/>
  <c r="C101" i="1"/>
  <c r="C102" i="1"/>
  <c r="C106" i="1"/>
  <c r="C107" i="1"/>
  <c r="C108" i="1"/>
  <c r="C29" i="1"/>
  <c r="C77" i="1"/>
  <c r="C111" i="1"/>
</calcChain>
</file>

<file path=xl/sharedStrings.xml><?xml version="1.0" encoding="utf-8"?>
<sst xmlns="http://schemas.openxmlformats.org/spreadsheetml/2006/main" count="190" uniqueCount="174">
  <si>
    <t>Labor, underground distribution per mile</t>
  </si>
  <si>
    <t>Labor, overhead distribution per mile</t>
  </si>
  <si>
    <t>Overhead distribution, miles</t>
  </si>
  <si>
    <t>Underground distribution, miles</t>
  </si>
  <si>
    <t>Final strand maps, per mile</t>
  </si>
  <si>
    <t>Pole attachment heights, per pole</t>
  </si>
  <si>
    <t>Pole application Processing, per pole</t>
  </si>
  <si>
    <t>Construction contractor procurement, construction bid price</t>
  </si>
  <si>
    <t>Poles</t>
  </si>
  <si>
    <t>PDUs</t>
  </si>
  <si>
    <t>Take rate</t>
  </si>
  <si>
    <t>Liklihood</t>
  </si>
  <si>
    <t>Include?</t>
  </si>
  <si>
    <t>Town Name</t>
  </si>
  <si>
    <t>Year</t>
  </si>
  <si>
    <t>Est. Total Network Cost</t>
  </si>
  <si>
    <t>Constr. Costs Funded by MBI</t>
  </si>
  <si>
    <t>Prof. Svcs. Costs Funded by MBI</t>
  </si>
  <si>
    <t>Projected Town Contribution</t>
  </si>
  <si>
    <t>Make Ready Estimate included in budget</t>
  </si>
  <si>
    <t>Public Roadway Footage</t>
  </si>
  <si>
    <t>Measured Aerial Strand Footage</t>
  </si>
  <si>
    <t>Mapped Utility Poles</t>
  </si>
  <si>
    <t>U'G Conduit Footage</t>
  </si>
  <si>
    <t>Utility Provider</t>
  </si>
  <si>
    <t>Mapping Residential Units</t>
  </si>
  <si>
    <t>2010 Census Housing Units</t>
  </si>
  <si>
    <t>2000 Census Housing Units</t>
  </si>
  <si>
    <t>1990 Census Housing Units</t>
  </si>
  <si>
    <t>2010 Census Households</t>
  </si>
  <si>
    <t>2010 Census Seasonal recreational or occasional use housing units</t>
  </si>
  <si>
    <t>2010 % Seasonal recreational or occasional use</t>
  </si>
  <si>
    <t>A</t>
  </si>
  <si>
    <t>Y</t>
  </si>
  <si>
    <t>National Grid</t>
  </si>
  <si>
    <t>Rowe</t>
  </si>
  <si>
    <t>Town</t>
  </si>
  <si>
    <t>Drops</t>
  </si>
  <si>
    <t>Construction</t>
  </si>
  <si>
    <t>Data collection and route validation, per mile</t>
  </si>
  <si>
    <t>Subs</t>
  </si>
  <si>
    <t>Program Management</t>
  </si>
  <si>
    <t>Network Components</t>
  </si>
  <si>
    <t>Fiber and splice design, per mile</t>
  </si>
  <si>
    <t>Make Ready</t>
  </si>
  <si>
    <t>% of pole requiring make ready</t>
  </si>
  <si>
    <t>Total Cost</t>
  </si>
  <si>
    <t>Total, make ready</t>
  </si>
  <si>
    <t>Total, Construction</t>
  </si>
  <si>
    <t>Total, Design and Engineering</t>
  </si>
  <si>
    <t>Total, Program Management</t>
  </si>
  <si>
    <t>Project Timetable</t>
  </si>
  <si>
    <t>Legal</t>
  </si>
  <si>
    <t>Design and Engineering</t>
  </si>
  <si>
    <t>Project Scoping, days</t>
  </si>
  <si>
    <t>Holidays</t>
  </si>
  <si>
    <t>Pole Applications Complete</t>
  </si>
  <si>
    <t>Pole Applications day, (poles per day)</t>
  </si>
  <si>
    <t>Pole Survey Complete</t>
  </si>
  <si>
    <t>Total Pole Applications (200 each app)</t>
  </si>
  <si>
    <t>Construction, days (miles per day)</t>
  </si>
  <si>
    <t>Difference</t>
  </si>
  <si>
    <t>Design and Engineering Completed</t>
  </si>
  <si>
    <t>Subs/ MST</t>
  </si>
  <si>
    <t>Install 1/4" Strand, per lf</t>
  </si>
  <si>
    <t>Install Fiber Cable, per lf</t>
  </si>
  <si>
    <t>Install MST, ea</t>
  </si>
  <si>
    <t>Fiber Testing, per MST, ea</t>
  </si>
  <si>
    <t>Price</t>
  </si>
  <si>
    <t>Item</t>
  </si>
  <si>
    <t>Splicing, per MST</t>
  </si>
  <si>
    <t>Fiber Splicing, ea</t>
  </si>
  <si>
    <t>Materials</t>
  </si>
  <si>
    <t>Underground Trench and Conduit Install, grass or hard pack</t>
  </si>
  <si>
    <t>Underground Trench and Conduit Install, asphalt</t>
  </si>
  <si>
    <t>Value</t>
  </si>
  <si>
    <t>Delay/Contingency at Each Phase</t>
  </si>
  <si>
    <t>Delay/Contingency for Each Phase</t>
  </si>
  <si>
    <t>Start of Project</t>
  </si>
  <si>
    <t>100% Construction Complete</t>
  </si>
  <si>
    <t>50% Construction Complete</t>
  </si>
  <si>
    <t>Estimating Complete (business days)</t>
  </si>
  <si>
    <t>Make Ready Labor Complete (business days)</t>
  </si>
  <si>
    <t>Commission (business days)</t>
  </si>
  <si>
    <t>Design/Engineering, days (miles per day), business days</t>
  </si>
  <si>
    <t>Pole Survey, days (poles/day), business days</t>
  </si>
  <si>
    <t>Agreement complete (business days)</t>
  </si>
  <si>
    <t>Drop, Hardware, Misc</t>
  </si>
  <si>
    <t>Drop (500 ft)</t>
  </si>
  <si>
    <t>Wedge grip</t>
  </si>
  <si>
    <t>J Hook, P Hook</t>
  </si>
  <si>
    <t>NID</t>
  </si>
  <si>
    <t>ISP Jumper (25 FT)</t>
  </si>
  <si>
    <t>TOTAL</t>
  </si>
  <si>
    <t>MST (12 Port/ 1K/ft tail)</t>
  </si>
  <si>
    <t>worst case</t>
  </si>
  <si>
    <t>MST (4 Port/ 1K/ft tail)</t>
  </si>
  <si>
    <t>typ.</t>
  </si>
  <si>
    <t xml:space="preserve"> Strand Hardware</t>
  </si>
  <si>
    <t>Magic Mile (Est. 40 pole/mi</t>
  </si>
  <si>
    <t>All hardware; strand,clamps,grounding materials, lash, band/spacer, down guy, etc</t>
  </si>
  <si>
    <t>Cable</t>
  </si>
  <si>
    <t>Cable (96F) AVG 1.5/lf</t>
  </si>
  <si>
    <t>Avg. size cable, 50% add cable in lash</t>
  </si>
  <si>
    <t>FOSC Splice Closures (3 per mile</t>
  </si>
  <si>
    <t>B Closure/Trays, Gel seal</t>
  </si>
  <si>
    <t>Materal Total</t>
  </si>
  <si>
    <t>Less MST</t>
  </si>
  <si>
    <t>underground</t>
  </si>
  <si>
    <t>trench (20% asphalt, 80% grass)</t>
  </si>
  <si>
    <t>microduct</t>
  </si>
  <si>
    <t>vaults and pedestals</t>
  </si>
  <si>
    <t>fiber splicing</t>
  </si>
  <si>
    <t>vault and ped install</t>
  </si>
  <si>
    <t>Labor</t>
  </si>
  <si>
    <t>80/20 Sod to Asphalt Conduit build</t>
  </si>
  <si>
    <t>Conduit path</t>
  </si>
  <si>
    <t>Splicing</t>
  </si>
  <si>
    <t>Splices required per MST</t>
  </si>
  <si>
    <t>Total Splices required</t>
  </si>
  <si>
    <t>MSTs</t>
  </si>
  <si>
    <t>PDUs per mile</t>
  </si>
  <si>
    <t>Dispersion Factor (PDU per mile base town/case town)</t>
  </si>
  <si>
    <t>Subs per MST, base town</t>
  </si>
  <si>
    <t>PDU/mile, base case</t>
  </si>
  <si>
    <t>Estimated MSTs Required</t>
  </si>
  <si>
    <t>MST Installation Cost</t>
  </si>
  <si>
    <t>Splicing Cost</t>
  </si>
  <si>
    <t>ONTs</t>
  </si>
  <si>
    <t>Testing, per MST</t>
  </si>
  <si>
    <t>Passed</t>
  </si>
  <si>
    <t>Pole application fees, Verizon</t>
  </si>
  <si>
    <t>Traffic Control, per day, per 4 man crew</t>
  </si>
  <si>
    <t>Pole application fees, Eversource/Ngrid (est)</t>
  </si>
  <si>
    <t>Debt Authorization</t>
  </si>
  <si>
    <t>Debt Exclusion</t>
  </si>
  <si>
    <t>Status</t>
  </si>
  <si>
    <t>Notes</t>
  </si>
  <si>
    <t>Green Light</t>
  </si>
  <si>
    <t>Pole Survey</t>
  </si>
  <si>
    <t>Osmose</t>
  </si>
  <si>
    <t>Incubation; wish to work with us.</t>
  </si>
  <si>
    <t>Yes</t>
  </si>
  <si>
    <t>EOCD Award</t>
  </si>
  <si>
    <t>Make ready per pole, average (estimated)</t>
  </si>
  <si>
    <t>Material Bidding and Procurement Management, of material costs</t>
  </si>
  <si>
    <t>(01) Introductory Discussions</t>
  </si>
  <si>
    <t>(02) Meeting Scheduled</t>
  </si>
  <si>
    <t>(03) Met With</t>
  </si>
  <si>
    <t>(05) Contract Sent</t>
  </si>
  <si>
    <t>Mileage</t>
  </si>
  <si>
    <t>(04) Continuing Discussions</t>
  </si>
  <si>
    <t>(05 Verbal Agreement</t>
  </si>
  <si>
    <t>(06) Contract Sent</t>
  </si>
  <si>
    <t>(07) Contract Negotiations</t>
  </si>
  <si>
    <t>(08) Signed Contract</t>
  </si>
  <si>
    <t>(09) Design</t>
  </si>
  <si>
    <t>(10) Procurement</t>
  </si>
  <si>
    <t>(11) Construction</t>
  </si>
  <si>
    <t>(12) ISP and Network Ops</t>
  </si>
  <si>
    <t>(99) Cancelled / Other</t>
  </si>
  <si>
    <t>(00) No Discussion</t>
  </si>
  <si>
    <t>(98) Comcast</t>
  </si>
  <si>
    <t>(97) Charter</t>
  </si>
  <si>
    <t>(96) Frontier</t>
  </si>
  <si>
    <t>(95) Fiber Connect/ HG&amp;E</t>
  </si>
  <si>
    <t>(94) Crocker</t>
  </si>
  <si>
    <t>Likelihood</t>
  </si>
  <si>
    <t>Osmose Survey</t>
  </si>
  <si>
    <t>Phase I: Engineering and Design</t>
  </si>
  <si>
    <t>Phase II: Make Ready</t>
  </si>
  <si>
    <t>Phase III: Procurement</t>
  </si>
  <si>
    <t>subtotal:</t>
  </si>
  <si>
    <t>Phase IV: Project management, Total network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</si>
</sst>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_)"/>
    <numFmt numFmtId="167" formatCode="00000_)"/>
    <numFmt numFmtId="168" formatCode="[hhh]:mm"/>
    <numFmt numFmtId="169" formatCode="#,##0.0000_);[Red]\(#,##0.0000\)"/>
    <numFmt numFmtId="170" formatCode="0;;"/>
    <numFmt numFmtId="171" formatCode="_-* #,##0\ _F_-;\-* #,##0\ _F_-;_-* &quot;-&quot;\ _F_-;_-@_-"/>
    <numFmt numFmtId="172" formatCode="_-* #,##0\ &quot;F&quot;_-;\-* #,##0\ &quot;F&quot;_-;_-* &quot;-&quot;\ &quot;F&quot;_-;_-@_-"/>
    <numFmt numFmtId="173" formatCode="_-* #,##0.00\ &quot;F&quot;_-;\-* #,##0.00\ &quot;F&quot;_-;_-* &quot;-&quot;??\ &quot;F&quot;_-;_-@_-"/>
    <numFmt numFmtId="174" formatCode="&quot;$&quot;#,##0.00"/>
    <numFmt numFmtId="175" formatCode="General_)"/>
    <numFmt numFmtId="176" formatCode="_(&quot;$&quot;* #,##0_);_(&quot;$&quot;* \(#,##0\);_(&quot;$&quot;* &quot;-&quot;??_);_(@_)"/>
    <numFmt numFmtId="177" formatCode="[$-409]d\-mmm\-yy;@"/>
    <numFmt numFmtId="178" formatCode="&quot;$&quot;#,##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charset val="204"/>
    </font>
    <font>
      <sz val="11"/>
      <color indexed="9"/>
      <name val="Calibri"/>
      <family val="2"/>
    </font>
    <font>
      <sz val="12"/>
      <name val="Helv"/>
    </font>
    <font>
      <sz val="8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name val="Tms Rmn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MS Serif"/>
      <family val="1"/>
    </font>
    <font>
      <sz val="12"/>
      <color theme="1"/>
      <name val="Calibri"/>
      <family val="2"/>
      <scheme val="minor"/>
    </font>
    <font>
      <sz val="11"/>
      <name val="??"/>
      <family val="3"/>
    </font>
    <font>
      <sz val="10"/>
      <name val="Geneva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b/>
      <sz val="8"/>
      <color indexed="9"/>
      <name val="Times New Roman"/>
      <family val="1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Geneva"/>
    </font>
    <font>
      <b/>
      <sz val="10"/>
      <name val="MS Sans Serif"/>
      <family val="2"/>
    </font>
    <font>
      <sz val="8"/>
      <name val="Wingdings"/>
      <charset val="2"/>
    </font>
    <font>
      <sz val="12"/>
      <name val="Arial"/>
      <family val="2"/>
    </font>
    <font>
      <b/>
      <sz val="18"/>
      <color indexed="62"/>
      <name val="Cambria"/>
      <family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1"/>
        <b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</patternFill>
    </fill>
    <fill>
      <patternFill patternType="solid">
        <fgColor indexed="26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7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3" fillId="0" borderId="0"/>
    <xf numFmtId="44" fontId="3" fillId="0" borderId="0" applyFont="0" applyFill="0" applyBorder="0" applyAlignment="0" applyProtection="0"/>
    <xf numFmtId="177" fontId="3" fillId="3" borderId="0" applyNumberFormat="0" applyBorder="0" applyAlignment="0" applyProtection="0"/>
    <xf numFmtId="177" fontId="3" fillId="3" borderId="0" applyNumberFormat="0" applyBorder="0" applyAlignment="0" applyProtection="0"/>
    <xf numFmtId="177" fontId="3" fillId="4" borderId="0" applyNumberFormat="0" applyBorder="0" applyAlignment="0" applyProtection="0"/>
    <xf numFmtId="177" fontId="3" fillId="4" borderId="0" applyNumberFormat="0" applyBorder="0" applyAlignment="0" applyProtection="0"/>
    <xf numFmtId="177" fontId="3" fillId="5" borderId="0" applyNumberFormat="0" applyBorder="0" applyAlignment="0" applyProtection="0"/>
    <xf numFmtId="177" fontId="3" fillId="5" borderId="0" applyNumberFormat="0" applyBorder="0" applyAlignment="0" applyProtection="0"/>
    <xf numFmtId="177" fontId="3" fillId="6" borderId="0" applyNumberFormat="0" applyBorder="0" applyAlignment="0" applyProtection="0"/>
    <xf numFmtId="177" fontId="3" fillId="6" borderId="0" applyNumberFormat="0" applyBorder="0" applyAlignment="0" applyProtection="0"/>
    <xf numFmtId="177" fontId="3" fillId="7" borderId="0" applyNumberFormat="0" applyBorder="0" applyAlignment="0" applyProtection="0"/>
    <xf numFmtId="177" fontId="3" fillId="7" borderId="0" applyNumberFormat="0" applyBorder="0" applyAlignment="0" applyProtection="0"/>
    <xf numFmtId="177" fontId="3" fillId="8" borderId="0" applyNumberFormat="0" applyBorder="0" applyAlignment="0" applyProtection="0"/>
    <xf numFmtId="177" fontId="3" fillId="8" borderId="0" applyNumberFormat="0" applyBorder="0" applyAlignment="0" applyProtection="0"/>
    <xf numFmtId="177" fontId="3" fillId="9" borderId="0" applyNumberFormat="0" applyBorder="0" applyAlignment="0" applyProtection="0"/>
    <xf numFmtId="177" fontId="3" fillId="9" borderId="0" applyNumberFormat="0" applyBorder="0" applyAlignment="0" applyProtection="0"/>
    <xf numFmtId="177" fontId="3" fillId="10" borderId="0" applyNumberFormat="0" applyBorder="0" applyAlignment="0" applyProtection="0"/>
    <xf numFmtId="177" fontId="3" fillId="10" borderId="0" applyNumberFormat="0" applyBorder="0" applyAlignment="0" applyProtection="0"/>
    <xf numFmtId="177" fontId="3" fillId="11" borderId="0" applyNumberFormat="0" applyBorder="0" applyAlignment="0" applyProtection="0"/>
    <xf numFmtId="177" fontId="3" fillId="11" borderId="0" applyNumberFormat="0" applyBorder="0" applyAlignment="0" applyProtection="0"/>
    <xf numFmtId="177" fontId="3" fillId="6" borderId="0" applyNumberFormat="0" applyBorder="0" applyAlignment="0" applyProtection="0"/>
    <xf numFmtId="177" fontId="3" fillId="6" borderId="0" applyNumberFormat="0" applyBorder="0" applyAlignment="0" applyProtection="0"/>
    <xf numFmtId="177" fontId="3" fillId="9" borderId="0" applyNumberFormat="0" applyBorder="0" applyAlignment="0" applyProtection="0"/>
    <xf numFmtId="177" fontId="3" fillId="9" borderId="0" applyNumberFormat="0" applyBorder="0" applyAlignment="0" applyProtection="0"/>
    <xf numFmtId="177" fontId="3" fillId="12" borderId="0" applyNumberFormat="0" applyBorder="0" applyAlignment="0" applyProtection="0"/>
    <xf numFmtId="177" fontId="3" fillId="12" borderId="0" applyNumberFormat="0" applyBorder="0" applyAlignment="0" applyProtection="0"/>
    <xf numFmtId="177" fontId="6" fillId="13" borderId="0" applyNumberFormat="0" applyBorder="0" applyAlignment="0" applyProtection="0"/>
    <xf numFmtId="177" fontId="6" fillId="13" borderId="0" applyNumberFormat="0" applyBorder="0" applyAlignment="0" applyProtection="0"/>
    <xf numFmtId="177" fontId="6" fillId="10" borderId="0" applyNumberFormat="0" applyBorder="0" applyAlignment="0" applyProtection="0"/>
    <xf numFmtId="177" fontId="6" fillId="10" borderId="0" applyNumberFormat="0" applyBorder="0" applyAlignment="0" applyProtection="0"/>
    <xf numFmtId="177" fontId="6" fillId="11" borderId="0" applyNumberFormat="0" applyBorder="0" applyAlignment="0" applyProtection="0"/>
    <xf numFmtId="177" fontId="6" fillId="11" borderId="0" applyNumberFormat="0" applyBorder="0" applyAlignment="0" applyProtection="0"/>
    <xf numFmtId="177" fontId="6" fillId="14" borderId="0" applyNumberFormat="0" applyBorder="0" applyAlignment="0" applyProtection="0"/>
    <xf numFmtId="177" fontId="6" fillId="14" borderId="0" applyNumberFormat="0" applyBorder="0" applyAlignment="0" applyProtection="0"/>
    <xf numFmtId="177" fontId="6" fillId="15" borderId="0" applyNumberFormat="0" applyBorder="0" applyAlignment="0" applyProtection="0"/>
    <xf numFmtId="177" fontId="6" fillId="15" borderId="0" applyNumberFormat="0" applyBorder="0" applyAlignment="0" applyProtection="0"/>
    <xf numFmtId="177" fontId="6" fillId="16" borderId="0" applyNumberFormat="0" applyBorder="0" applyAlignment="0" applyProtection="0"/>
    <xf numFmtId="177" fontId="6" fillId="16" borderId="0" applyNumberFormat="0" applyBorder="0" applyAlignment="0" applyProtection="0"/>
    <xf numFmtId="177" fontId="3" fillId="17" borderId="0" applyNumberFormat="0" applyBorder="0" applyAlignment="0" applyProtection="0"/>
    <xf numFmtId="177" fontId="3" fillId="17" borderId="0" applyNumberFormat="0" applyBorder="0" applyAlignment="0" applyProtection="0"/>
    <xf numFmtId="177" fontId="6" fillId="18" borderId="0" applyNumberFormat="0" applyBorder="0" applyAlignment="0" applyProtection="0"/>
    <xf numFmtId="177" fontId="6" fillId="19" borderId="0" applyNumberFormat="0" applyBorder="0" applyAlignment="0" applyProtection="0"/>
    <xf numFmtId="177" fontId="6" fillId="19" borderId="0" applyNumberFormat="0" applyBorder="0" applyAlignment="0" applyProtection="0"/>
    <xf numFmtId="177" fontId="3" fillId="20" borderId="0" applyNumberFormat="0" applyBorder="0" applyAlignment="0" applyProtection="0"/>
    <xf numFmtId="177" fontId="3" fillId="21" borderId="0" applyNumberFormat="0" applyBorder="0" applyAlignment="0" applyProtection="0"/>
    <xf numFmtId="177" fontId="6" fillId="22" borderId="0" applyNumberFormat="0" applyBorder="0" applyAlignment="0" applyProtection="0"/>
    <xf numFmtId="177" fontId="6" fillId="23" borderId="0" applyNumberFormat="0" applyBorder="0" applyAlignment="0" applyProtection="0"/>
    <xf numFmtId="177" fontId="6" fillId="23" borderId="0" applyNumberFormat="0" applyBorder="0" applyAlignment="0" applyProtection="0"/>
    <xf numFmtId="177" fontId="3" fillId="20" borderId="0" applyNumberFormat="0" applyBorder="0" applyAlignment="0" applyProtection="0"/>
    <xf numFmtId="177" fontId="3" fillId="24" borderId="0" applyNumberFormat="0" applyBorder="0" applyAlignment="0" applyProtection="0"/>
    <xf numFmtId="177" fontId="6" fillId="21" borderId="0" applyNumberFormat="0" applyBorder="0" applyAlignment="0" applyProtection="0"/>
    <xf numFmtId="177" fontId="6" fillId="25" borderId="0" applyNumberFormat="0" applyBorder="0" applyAlignment="0" applyProtection="0"/>
    <xf numFmtId="177" fontId="6" fillId="25" borderId="0" applyNumberFormat="0" applyBorder="0" applyAlignment="0" applyProtection="0"/>
    <xf numFmtId="177" fontId="3" fillId="17" borderId="0" applyNumberFormat="0" applyBorder="0" applyAlignment="0" applyProtection="0"/>
    <xf numFmtId="177" fontId="3" fillId="21" borderId="0" applyNumberFormat="0" applyBorder="0" applyAlignment="0" applyProtection="0"/>
    <xf numFmtId="177" fontId="6" fillId="21" borderId="0" applyNumberFormat="0" applyBorder="0" applyAlignment="0" applyProtection="0"/>
    <xf numFmtId="177" fontId="6" fillId="14" borderId="0" applyNumberFormat="0" applyBorder="0" applyAlignment="0" applyProtection="0"/>
    <xf numFmtId="177" fontId="6" fillId="14" borderId="0" applyNumberFormat="0" applyBorder="0" applyAlignment="0" applyProtection="0"/>
    <xf numFmtId="177" fontId="3" fillId="26" borderId="0" applyNumberFormat="0" applyBorder="0" applyAlignment="0" applyProtection="0"/>
    <xf numFmtId="177" fontId="3" fillId="17" borderId="0" applyNumberFormat="0" applyBorder="0" applyAlignment="0" applyProtection="0"/>
    <xf numFmtId="177" fontId="6" fillId="18" borderId="0" applyNumberFormat="0" applyBorder="0" applyAlignment="0" applyProtection="0"/>
    <xf numFmtId="177" fontId="6" fillId="15" borderId="0" applyNumberFormat="0" applyBorder="0" applyAlignment="0" applyProtection="0"/>
    <xf numFmtId="177" fontId="6" fillId="15" borderId="0" applyNumberFormat="0" applyBorder="0" applyAlignment="0" applyProtection="0"/>
    <xf numFmtId="177" fontId="3" fillId="20" borderId="0" applyNumberFormat="0" applyBorder="0" applyAlignment="0" applyProtection="0"/>
    <xf numFmtId="177" fontId="3" fillId="27" borderId="0" applyNumberFormat="0" applyBorder="0" applyAlignment="0" applyProtection="0"/>
    <xf numFmtId="177" fontId="6" fillId="27" borderId="0" applyNumberFormat="0" applyBorder="0" applyAlignment="0" applyProtection="0"/>
    <xf numFmtId="177" fontId="6" fillId="28" borderId="0" applyNumberFormat="0" applyBorder="0" applyAlignment="0" applyProtection="0"/>
    <xf numFmtId="177" fontId="6" fillId="28" borderId="0" applyNumberFormat="0" applyBorder="0" applyAlignment="0" applyProtection="0"/>
    <xf numFmtId="167" fontId="4" fillId="0" borderId="0">
      <alignment horizontal="right"/>
    </xf>
    <xf numFmtId="177" fontId="8" fillId="0" borderId="0" applyNumberFormat="0" applyAlignment="0"/>
    <xf numFmtId="168" fontId="4" fillId="29" borderId="2">
      <alignment horizontal="center" vertical="center"/>
    </xf>
    <xf numFmtId="177" fontId="10" fillId="4" borderId="0" applyNumberFormat="0" applyBorder="0" applyAlignment="0" applyProtection="0"/>
    <xf numFmtId="177" fontId="10" fillId="4" borderId="0" applyNumberFormat="0" applyBorder="0" applyAlignment="0" applyProtection="0"/>
    <xf numFmtId="177" fontId="11" fillId="0" borderId="0" applyNumberFormat="0" applyFill="0" applyBorder="0" applyAlignment="0" applyProtection="0"/>
    <xf numFmtId="169" fontId="4" fillId="0" borderId="0" applyFill="0" applyBorder="0" applyAlignment="0"/>
    <xf numFmtId="177" fontId="12" fillId="30" borderId="3" applyNumberFormat="0" applyAlignment="0" applyProtection="0"/>
    <xf numFmtId="177" fontId="12" fillId="30" borderId="3" applyNumberFormat="0" applyAlignment="0" applyProtection="0"/>
    <xf numFmtId="177" fontId="13" fillId="31" borderId="4" applyNumberFormat="0" applyAlignment="0" applyProtection="0"/>
    <xf numFmtId="177" fontId="13" fillId="31" borderId="4" applyNumberFormat="0" applyAlignment="0" applyProtection="0"/>
    <xf numFmtId="177" fontId="13" fillId="31" borderId="4" applyNumberFormat="0" applyAlignment="0" applyProtection="0"/>
    <xf numFmtId="177" fontId="13" fillId="31" borderId="4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5" fillId="0" borderId="0" applyNumberFormat="0" applyAlignment="0">
      <alignment horizontal="left"/>
    </xf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17" fillId="0" borderId="0">
      <protection locked="0"/>
    </xf>
    <xf numFmtId="49" fontId="18" fillId="32" borderId="5" applyNumberFormat="0" applyFont="0" applyBorder="0" applyAlignment="0">
      <alignment horizontal="center"/>
      <protection locked="0"/>
    </xf>
    <xf numFmtId="177" fontId="19" fillId="33" borderId="0" applyNumberFormat="0" applyBorder="0" applyAlignment="0" applyProtection="0"/>
    <xf numFmtId="177" fontId="19" fillId="34" borderId="0" applyNumberFormat="0" applyBorder="0" applyAlignment="0" applyProtection="0"/>
    <xf numFmtId="177" fontId="19" fillId="35" borderId="0" applyNumberFormat="0" applyBorder="0" applyAlignment="0" applyProtection="0"/>
    <xf numFmtId="177" fontId="20" fillId="0" borderId="0" applyNumberFormat="0" applyAlignment="0">
      <alignment horizontal="left"/>
    </xf>
    <xf numFmtId="17" fontId="21" fillId="36" borderId="0">
      <alignment horizontal="left"/>
    </xf>
    <xf numFmtId="37" fontId="4" fillId="37" borderId="6">
      <protection locked="0"/>
    </xf>
    <xf numFmtId="7" fontId="4" fillId="37" borderId="6">
      <protection locked="0"/>
    </xf>
    <xf numFmtId="10" fontId="4" fillId="37" borderId="6">
      <protection locked="0"/>
    </xf>
    <xf numFmtId="164" fontId="4" fillId="37" borderId="6">
      <protection locked="0"/>
    </xf>
    <xf numFmtId="177" fontId="22" fillId="0" borderId="0" applyNumberFormat="0" applyFill="0" applyBorder="0" applyAlignment="0" applyProtection="0"/>
    <xf numFmtId="177" fontId="22" fillId="0" borderId="0" applyNumberFormat="0" applyFill="0" applyBorder="0" applyAlignment="0" applyProtection="0"/>
    <xf numFmtId="2" fontId="4" fillId="0" borderId="0" applyFont="0" applyFill="0" applyBorder="0" applyAlignment="0" applyProtection="0"/>
    <xf numFmtId="177" fontId="23" fillId="0" borderId="0"/>
    <xf numFmtId="177" fontId="7" fillId="38" borderId="7"/>
    <xf numFmtId="177" fontId="24" fillId="5" borderId="0" applyNumberFormat="0" applyBorder="0" applyAlignment="0" applyProtection="0"/>
    <xf numFmtId="177" fontId="24" fillId="5" borderId="0" applyNumberFormat="0" applyBorder="0" applyAlignment="0" applyProtection="0"/>
    <xf numFmtId="38" fontId="8" fillId="39" borderId="0" applyNumberFormat="0" applyBorder="0" applyAlignment="0" applyProtection="0"/>
    <xf numFmtId="177" fontId="25" fillId="0" borderId="0" applyNumberFormat="0" applyFill="0" applyBorder="0" applyAlignment="0" applyProtection="0"/>
    <xf numFmtId="177" fontId="26" fillId="0" borderId="8" applyNumberFormat="0" applyAlignment="0" applyProtection="0">
      <alignment horizontal="left" vertical="center"/>
    </xf>
    <xf numFmtId="177" fontId="26" fillId="0" borderId="9">
      <alignment horizontal="left" vertical="center"/>
    </xf>
    <xf numFmtId="177" fontId="27" fillId="0" borderId="10" applyNumberFormat="0" applyFill="0" applyAlignment="0" applyProtection="0"/>
    <xf numFmtId="177" fontId="27" fillId="0" borderId="10" applyNumberFormat="0" applyFill="0" applyAlignment="0" applyProtection="0"/>
    <xf numFmtId="177" fontId="28" fillId="0" borderId="11" applyNumberFormat="0" applyFill="0" applyAlignment="0" applyProtection="0"/>
    <xf numFmtId="177" fontId="28" fillId="0" borderId="11" applyNumberFormat="0" applyFill="0" applyAlignment="0" applyProtection="0"/>
    <xf numFmtId="177" fontId="29" fillId="0" borderId="12" applyNumberFormat="0" applyFill="0" applyAlignment="0" applyProtection="0"/>
    <xf numFmtId="177" fontId="29" fillId="0" borderId="12" applyNumberFormat="0" applyFill="0" applyAlignment="0" applyProtection="0"/>
    <xf numFmtId="177" fontId="29" fillId="0" borderId="0" applyNumberFormat="0" applyFill="0" applyBorder="0" applyAlignment="0" applyProtection="0"/>
    <xf numFmtId="177" fontId="29" fillId="0" borderId="0" applyNumberFormat="0" applyFill="0" applyBorder="0" applyAlignment="0" applyProtection="0"/>
    <xf numFmtId="170" fontId="26" fillId="0" borderId="0"/>
    <xf numFmtId="177" fontId="23" fillId="0" borderId="0"/>
    <xf numFmtId="177" fontId="30" fillId="0" borderId="13">
      <alignment horizontal="center"/>
    </xf>
    <xf numFmtId="177" fontId="30" fillId="0" borderId="0">
      <alignment horizontal="center"/>
    </xf>
    <xf numFmtId="177" fontId="31" fillId="0" borderId="14" applyNumberFormat="0" applyFill="0" applyAlignment="0" applyProtection="0"/>
    <xf numFmtId="177" fontId="31" fillId="0" borderId="14" applyNumberFormat="0" applyFill="0" applyAlignment="0" applyProtection="0"/>
    <xf numFmtId="10" fontId="8" fillId="37" borderId="15" applyNumberFormat="0" applyBorder="0" applyAlignment="0" applyProtection="0"/>
    <xf numFmtId="177" fontId="32" fillId="8" borderId="3" applyNumberFormat="0" applyAlignment="0" applyProtection="0"/>
    <xf numFmtId="177" fontId="32" fillId="8" borderId="3" applyNumberFormat="0" applyAlignment="0" applyProtection="0"/>
    <xf numFmtId="177" fontId="33" fillId="0" borderId="16" applyNumberFormat="0" applyFill="0" applyAlignment="0" applyProtection="0"/>
    <xf numFmtId="177" fontId="33" fillId="0" borderId="16" applyNumberFormat="0" applyFill="0" applyAlignment="0" applyProtection="0"/>
    <xf numFmtId="177" fontId="34" fillId="0" borderId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7" fontId="35" fillId="40" borderId="0" applyNumberFormat="0" applyBorder="0" applyAlignment="0" applyProtection="0"/>
    <xf numFmtId="177" fontId="35" fillId="40" borderId="0" applyNumberFormat="0" applyBorder="0" applyAlignment="0" applyProtection="0"/>
    <xf numFmtId="37" fontId="36" fillId="0" borderId="0"/>
    <xf numFmtId="166" fontId="37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16" fillId="0" borderId="0"/>
    <xf numFmtId="177" fontId="4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41" borderId="6" applyNumberFormat="0" applyFont="0" applyAlignment="0" applyProtection="0"/>
    <xf numFmtId="177" fontId="4" fillId="41" borderId="6" applyNumberFormat="0" applyFont="0" applyAlignment="0" applyProtection="0"/>
    <xf numFmtId="177" fontId="38" fillId="30" borderId="17" applyNumberFormat="0" applyAlignment="0" applyProtection="0"/>
    <xf numFmtId="177" fontId="38" fillId="30" borderId="17" applyNumberFormat="0" applyAlignment="0" applyProtection="0"/>
    <xf numFmtId="40" fontId="39" fillId="42" borderId="0">
      <alignment horizontal="right"/>
    </xf>
    <xf numFmtId="177" fontId="40" fillId="42" borderId="0">
      <alignment horizontal="right"/>
    </xf>
    <xf numFmtId="177" fontId="41" fillId="42" borderId="18"/>
    <xf numFmtId="177" fontId="41" fillId="0" borderId="0" applyBorder="0">
      <alignment horizontal="centerContinuous"/>
    </xf>
    <xf numFmtId="177" fontId="42" fillId="0" borderId="0" applyBorder="0">
      <alignment horizontal="centerContinuous"/>
    </xf>
    <xf numFmtId="174" fontId="43" fillId="43" borderId="9" applyNumberFormat="0" applyBorder="0" applyAlignment="0">
      <alignment horizontal="right"/>
      <protection locked="0"/>
    </xf>
    <xf numFmtId="37" fontId="31" fillId="0" borderId="0">
      <protection locked="0"/>
    </xf>
    <xf numFmtId="39" fontId="31" fillId="0" borderId="0">
      <protection locked="0"/>
    </xf>
    <xf numFmtId="10" fontId="31" fillId="0" borderId="0">
      <protection locked="0"/>
    </xf>
    <xf numFmtId="14" fontId="9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177" fontId="44" fillId="0" borderId="13">
      <alignment horizontal="center"/>
    </xf>
    <xf numFmtId="3" fontId="14" fillId="0" borderId="0" applyFont="0" applyFill="0" applyBorder="0" applyAlignment="0" applyProtection="0"/>
    <xf numFmtId="177" fontId="14" fillId="44" borderId="0" applyNumberFormat="0" applyFont="0" applyBorder="0" applyAlignment="0" applyProtection="0"/>
    <xf numFmtId="177" fontId="45" fillId="45" borderId="0" applyNumberFormat="0" applyFont="0" applyBorder="0" applyAlignment="0">
      <alignment horizontal="center"/>
    </xf>
    <xf numFmtId="164" fontId="4" fillId="0" borderId="0" applyNumberFormat="0" applyFill="0" applyBorder="0" applyAlignment="0" applyProtection="0">
      <alignment horizontal="left"/>
    </xf>
    <xf numFmtId="175" fontId="46" fillId="0" borderId="0" applyProtection="0"/>
    <xf numFmtId="177" fontId="45" fillId="1" borderId="9" applyNumberFormat="0" applyFont="0" applyAlignment="0">
      <alignment horizontal="center"/>
    </xf>
    <xf numFmtId="177" fontId="47" fillId="0" borderId="0" applyNumberFormat="0" applyFill="0" applyBorder="0" applyAlignment="0" applyProtection="0"/>
    <xf numFmtId="177" fontId="48" fillId="0" borderId="15"/>
    <xf numFmtId="177" fontId="49" fillId="0" borderId="0" applyNumberFormat="0" applyFill="0" applyBorder="0" applyAlignment="0">
      <alignment horizontal="center"/>
    </xf>
    <xf numFmtId="37" fontId="4" fillId="0" borderId="0"/>
    <xf numFmtId="177" fontId="5" fillId="0" borderId="0"/>
    <xf numFmtId="40" fontId="50" fillId="0" borderId="0" applyBorder="0">
      <alignment horizontal="right"/>
    </xf>
    <xf numFmtId="177" fontId="51" fillId="0" borderId="0" applyNumberFormat="0" applyFill="0" applyBorder="0" applyAlignment="0" applyProtection="0"/>
    <xf numFmtId="177" fontId="51" fillId="0" borderId="0" applyNumberFormat="0" applyFill="0" applyBorder="0" applyAlignment="0" applyProtection="0"/>
    <xf numFmtId="177" fontId="19" fillId="0" borderId="19" applyNumberFormat="0" applyFill="0" applyAlignment="0" applyProtection="0"/>
    <xf numFmtId="177" fontId="19" fillId="0" borderId="19" applyNumberFormat="0" applyFill="0" applyAlignment="0" applyProtection="0"/>
    <xf numFmtId="37" fontId="23" fillId="0" borderId="20"/>
    <xf numFmtId="37" fontId="4" fillId="0" borderId="21"/>
    <xf numFmtId="37" fontId="8" fillId="46" borderId="0" applyNumberFormat="0" applyBorder="0" applyAlignment="0" applyProtection="0"/>
    <xf numFmtId="37" fontId="8" fillId="0" borderId="0"/>
    <xf numFmtId="3" fontId="52" fillId="0" borderId="14" applyProtection="0"/>
    <xf numFmtId="3" fontId="52" fillId="0" borderId="14" applyProtection="0"/>
    <xf numFmtId="177" fontId="53" fillId="0" borderId="0" applyNumberFormat="0" applyFill="0" applyBorder="0" applyAlignment="0" applyProtection="0"/>
    <xf numFmtId="177" fontId="5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82">
    <xf numFmtId="0" fontId="0" fillId="0" borderId="0" xfId="0"/>
    <xf numFmtId="9" fontId="0" fillId="0" borderId="0" xfId="2" applyFont="1"/>
    <xf numFmtId="10" fontId="0" fillId="0" borderId="0" xfId="2" applyNumberFormat="1" applyFont="1"/>
    <xf numFmtId="0" fontId="0" fillId="0" borderId="0" xfId="0" applyAlignment="1">
      <alignment horizontal="left" indent="1"/>
    </xf>
    <xf numFmtId="44" fontId="0" fillId="0" borderId="0" xfId="1" applyFont="1"/>
    <xf numFmtId="0" fontId="2" fillId="2" borderId="1" xfId="0" applyFont="1" applyFill="1" applyBorder="1" applyAlignment="1">
      <alignment horizontal="center" wrapText="1"/>
    </xf>
    <xf numFmtId="177" fontId="3" fillId="0" borderId="0" xfId="3" applyAlignment="1">
      <alignment wrapText="1"/>
    </xf>
    <xf numFmtId="177" fontId="3" fillId="0" borderId="0" xfId="3" applyAlignment="1">
      <alignment horizontal="center"/>
    </xf>
    <xf numFmtId="177" fontId="3" fillId="0" borderId="0" xfId="3"/>
    <xf numFmtId="42" fontId="0" fillId="0" borderId="0" xfId="4" applyNumberFormat="1" applyFont="1"/>
    <xf numFmtId="3" fontId="3" fillId="0" borderId="0" xfId="3" applyNumberFormat="1"/>
    <xf numFmtId="177" fontId="4" fillId="0" borderId="0" xfId="3" applyFont="1"/>
    <xf numFmtId="3" fontId="4" fillId="0" borderId="0" xfId="3" applyNumberFormat="1" applyFont="1"/>
    <xf numFmtId="10" fontId="4" fillId="0" borderId="0" xfId="3" applyNumberFormat="1" applyFont="1"/>
    <xf numFmtId="165" fontId="0" fillId="0" borderId="0" xfId="0" applyNumberFormat="1"/>
    <xf numFmtId="44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/>
    <xf numFmtId="176" fontId="0" fillId="0" borderId="0" xfId="0" applyNumberFormat="1"/>
    <xf numFmtId="176" fontId="0" fillId="0" borderId="22" xfId="0" applyNumberFormat="1" applyBorder="1"/>
    <xf numFmtId="176" fontId="0" fillId="0" borderId="0" xfId="0" applyNumberFormat="1" applyBorder="1"/>
    <xf numFmtId="14" fontId="0" fillId="0" borderId="0" xfId="0" applyNumberFormat="1"/>
    <xf numFmtId="176" fontId="0" fillId="0" borderId="0" xfId="1" applyNumberFormat="1" applyFont="1"/>
    <xf numFmtId="1" fontId="0" fillId="0" borderId="0" xfId="0" applyNumberFormat="1"/>
    <xf numFmtId="0" fontId="2" fillId="47" borderId="0" xfId="0" applyFont="1" applyFill="1"/>
    <xf numFmtId="0" fontId="0" fillId="0" borderId="0" xfId="0" applyAlignment="1">
      <alignment horizontal="center"/>
    </xf>
    <xf numFmtId="0" fontId="2" fillId="47" borderId="0" xfId="0" applyFont="1" applyFill="1" applyAlignment="1">
      <alignment horizontal="center"/>
    </xf>
    <xf numFmtId="9" fontId="0" fillId="0" borderId="0" xfId="2" applyFont="1" applyAlignment="1">
      <alignment horizontal="center"/>
    </xf>
    <xf numFmtId="0" fontId="54" fillId="0" borderId="0" xfId="0" applyFont="1"/>
    <xf numFmtId="0" fontId="55" fillId="0" borderId="0" xfId="0" applyFont="1" applyBorder="1"/>
    <xf numFmtId="44" fontId="55" fillId="0" borderId="0" xfId="1" applyFont="1" applyBorder="1"/>
    <xf numFmtId="44" fontId="54" fillId="0" borderId="0" xfId="1" applyFont="1"/>
    <xf numFmtId="0" fontId="55" fillId="0" borderId="0" xfId="0" applyFont="1"/>
    <xf numFmtId="44" fontId="55" fillId="0" borderId="0" xfId="1" applyFont="1"/>
    <xf numFmtId="0" fontId="0" fillId="0" borderId="0" xfId="0" applyBorder="1"/>
    <xf numFmtId="0" fontId="56" fillId="0" borderId="0" xfId="0" applyFont="1" applyAlignment="1">
      <alignment horizontal="left" indent="1"/>
    </xf>
    <xf numFmtId="0" fontId="56" fillId="0" borderId="0" xfId="0" applyFont="1" applyAlignment="1">
      <alignment horizontal="left" indent="2"/>
    </xf>
    <xf numFmtId="176" fontId="56" fillId="0" borderId="0" xfId="0" applyNumberFormat="1" applyFont="1" applyAlignment="1">
      <alignment horizontal="left" indent="1"/>
    </xf>
    <xf numFmtId="44" fontId="0" fillId="48" borderId="0" xfId="1" applyFont="1" applyFill="1"/>
    <xf numFmtId="44" fontId="0" fillId="0" borderId="0" xfId="1" applyFont="1" applyFill="1"/>
    <xf numFmtId="44" fontId="0" fillId="0" borderId="0" xfId="1" applyFont="1" applyFill="1" applyAlignment="1">
      <alignment horizontal="left" indent="1"/>
    </xf>
    <xf numFmtId="44" fontId="56" fillId="0" borderId="0" xfId="1" applyFont="1" applyFill="1" applyAlignment="1">
      <alignment horizontal="left" indent="1"/>
    </xf>
    <xf numFmtId="44" fontId="0" fillId="0" borderId="0" xfId="0" applyNumberFormat="1" applyFill="1"/>
    <xf numFmtId="44" fontId="54" fillId="0" borderId="0" xfId="1" applyFont="1" applyFill="1"/>
    <xf numFmtId="176" fontId="54" fillId="0" borderId="0" xfId="0" applyNumberFormat="1" applyFont="1"/>
    <xf numFmtId="44" fontId="54" fillId="0" borderId="0" xfId="0" applyNumberFormat="1" applyFont="1" applyFill="1"/>
    <xf numFmtId="176" fontId="54" fillId="0" borderId="0" xfId="1" applyNumberFormat="1" applyFont="1" applyFill="1"/>
    <xf numFmtId="176" fontId="54" fillId="0" borderId="0" xfId="0" applyNumberFormat="1" applyFont="1" applyFill="1"/>
    <xf numFmtId="176" fontId="2" fillId="47" borderId="0" xfId="1" applyNumberFormat="1" applyFont="1" applyFill="1"/>
    <xf numFmtId="165" fontId="0" fillId="0" borderId="0" xfId="0" applyNumberFormat="1" applyAlignment="1"/>
    <xf numFmtId="177" fontId="2" fillId="2" borderId="1" xfId="0" applyNumberFormat="1" applyFont="1" applyFill="1" applyBorder="1" applyAlignment="1">
      <alignment horizontal="center" wrapText="1"/>
    </xf>
    <xf numFmtId="177" fontId="3" fillId="0" borderId="0" xfId="3" applyNumberFormat="1"/>
    <xf numFmtId="176" fontId="3" fillId="0" borderId="0" xfId="1" applyNumberFormat="1" applyFont="1" applyAlignment="1">
      <alignment wrapText="1"/>
    </xf>
    <xf numFmtId="176" fontId="2" fillId="2" borderId="1" xfId="1" applyNumberFormat="1" applyFont="1" applyFill="1" applyBorder="1" applyAlignment="1">
      <alignment horizontal="center" wrapText="1"/>
    </xf>
    <xf numFmtId="176" fontId="3" fillId="0" borderId="0" xfId="1" applyNumberFormat="1" applyFont="1"/>
    <xf numFmtId="177" fontId="0" fillId="0" borderId="0" xfId="0" applyNumberFormat="1" applyAlignment="1">
      <alignment horizontal="left" indent="1"/>
    </xf>
    <xf numFmtId="176" fontId="0" fillId="0" borderId="0" xfId="0" applyNumberFormat="1" applyFill="1"/>
    <xf numFmtId="44" fontId="0" fillId="0" borderId="0" xfId="0" applyNumberFormat="1" applyAlignment="1">
      <alignment horizontal="left" indent="1"/>
    </xf>
    <xf numFmtId="177" fontId="0" fillId="0" borderId="0" xfId="0" applyNumberFormat="1"/>
    <xf numFmtId="177" fontId="56" fillId="0" borderId="0" xfId="0" applyNumberFormat="1" applyFont="1" applyAlignment="1">
      <alignment horizontal="left" indent="2"/>
    </xf>
    <xf numFmtId="177" fontId="0" fillId="0" borderId="0" xfId="0" applyNumberFormat="1" applyAlignment="1">
      <alignment horizontal="left" indent="1"/>
    </xf>
    <xf numFmtId="177" fontId="56" fillId="0" borderId="0" xfId="0" applyNumberFormat="1" applyFont="1" applyAlignment="1">
      <alignment horizontal="left" indent="1"/>
    </xf>
    <xf numFmtId="177" fontId="0" fillId="0" borderId="0" xfId="0" applyNumberFormat="1" applyAlignment="1">
      <alignment horizontal="center"/>
    </xf>
    <xf numFmtId="177" fontId="2" fillId="47" borderId="0" xfId="0" applyNumberFormat="1" applyFont="1" applyFill="1"/>
    <xf numFmtId="177" fontId="0" fillId="0" borderId="0" xfId="0" applyNumberFormat="1" applyAlignment="1">
      <alignment horizontal="left" indent="2"/>
    </xf>
    <xf numFmtId="177" fontId="2" fillId="2" borderId="1" xfId="0" applyNumberFormat="1" applyFont="1" applyFill="1" applyBorder="1" applyAlignment="1">
      <alignment horizontal="center" wrapText="1"/>
    </xf>
    <xf numFmtId="177" fontId="3" fillId="0" borderId="0" xfId="3" applyNumberFormat="1"/>
    <xf numFmtId="165" fontId="3" fillId="0" borderId="0" xfId="3" applyNumberFormat="1"/>
    <xf numFmtId="178" fontId="0" fillId="0" borderId="0" xfId="0" applyNumberFormat="1"/>
    <xf numFmtId="9" fontId="2" fillId="2" borderId="1" xfId="2" applyFont="1" applyFill="1" applyBorder="1" applyAlignment="1">
      <alignment horizontal="center" wrapText="1"/>
    </xf>
    <xf numFmtId="9" fontId="3" fillId="0" borderId="0" xfId="2" applyFont="1"/>
    <xf numFmtId="3" fontId="4" fillId="0" borderId="0" xfId="3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2" fillId="47" borderId="0" xfId="0" applyNumberFormat="1" applyFont="1" applyFill="1"/>
    <xf numFmtId="177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2" applyNumberFormat="1" applyFont="1"/>
    <xf numFmtId="0" fontId="1" fillId="0" borderId="0" xfId="1" applyNumberFormat="1" applyFont="1" applyFill="1" applyAlignment="1">
      <alignment horizontal="left" indent="1"/>
    </xf>
    <xf numFmtId="0" fontId="0" fillId="0" borderId="0" xfId="0" applyNumberFormat="1" applyAlignment="1">
      <alignment horizontal="center"/>
    </xf>
    <xf numFmtId="0" fontId="54" fillId="0" borderId="0" xfId="0" applyFont="1" applyAlignment="1">
      <alignment horizontal="left" indent="1"/>
    </xf>
    <xf numFmtId="10" fontId="54" fillId="0" borderId="0" xfId="2" applyNumberFormat="1" applyFont="1" applyAlignment="1">
      <alignment horizontal="right"/>
    </xf>
  </cellXfs>
  <cellStyles count="270"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40% - Accent1 2" xfId="17"/>
    <cellStyle name="40% - Accent1 3" xfId="18"/>
    <cellStyle name="40% - Accent2 2" xfId="19"/>
    <cellStyle name="40% - Accent2 3" xfId="20"/>
    <cellStyle name="40% - Accent3 2" xfId="21"/>
    <cellStyle name="40% - Accent3 3" xfId="22"/>
    <cellStyle name="40% - Accent4 2" xfId="23"/>
    <cellStyle name="40% - Accent4 3" xfId="24"/>
    <cellStyle name="40% - Accent5 2" xfId="25"/>
    <cellStyle name="40% - Accent5 3" xfId="26"/>
    <cellStyle name="40% - Accent6 2" xfId="27"/>
    <cellStyle name="40% - Accent6 3" xfId="28"/>
    <cellStyle name="60% - Accent1 2" xfId="29"/>
    <cellStyle name="60% - Accent1 3" xfId="30"/>
    <cellStyle name="60% - Accent2 2" xfId="31"/>
    <cellStyle name="60% - Accent2 3" xfId="32"/>
    <cellStyle name="60% - Accent3 2" xfId="33"/>
    <cellStyle name="60% - Accent3 3" xfId="34"/>
    <cellStyle name="60% - Accent4 2" xfId="35"/>
    <cellStyle name="60% - Accent4 3" xfId="36"/>
    <cellStyle name="60% - Accent5 2" xfId="37"/>
    <cellStyle name="60% - Accent5 3" xfId="38"/>
    <cellStyle name="60% - Accent6 2" xfId="39"/>
    <cellStyle name="60% - Accent6 3" xfId="40"/>
    <cellStyle name="Accent1 - 20%" xfId="41"/>
    <cellStyle name="Accent1 - 40%" xfId="42"/>
    <cellStyle name="Accent1 - 60%" xfId="43"/>
    <cellStyle name="Accent1 2" xfId="44"/>
    <cellStyle name="Accent1 3" xfId="45"/>
    <cellStyle name="Accent2 - 20%" xfId="46"/>
    <cellStyle name="Accent2 - 40%" xfId="47"/>
    <cellStyle name="Accent2 - 60%" xfId="48"/>
    <cellStyle name="Accent2 2" xfId="49"/>
    <cellStyle name="Accent2 3" xfId="50"/>
    <cellStyle name="Accent3 - 20%" xfId="51"/>
    <cellStyle name="Accent3 - 40%" xfId="52"/>
    <cellStyle name="Accent3 - 60%" xfId="53"/>
    <cellStyle name="Accent3 2" xfId="54"/>
    <cellStyle name="Accent3 3" xfId="55"/>
    <cellStyle name="Accent4 - 20%" xfId="56"/>
    <cellStyle name="Accent4 - 40%" xfId="57"/>
    <cellStyle name="Accent4 - 60%" xfId="58"/>
    <cellStyle name="Accent4 2" xfId="59"/>
    <cellStyle name="Accent4 3" xfId="60"/>
    <cellStyle name="Accent5 - 20%" xfId="61"/>
    <cellStyle name="Accent5 - 40%" xfId="62"/>
    <cellStyle name="Accent5 - 60%" xfId="63"/>
    <cellStyle name="Accent5 2" xfId="64"/>
    <cellStyle name="Accent5 3" xfId="65"/>
    <cellStyle name="Accent6 - 20%" xfId="66"/>
    <cellStyle name="Accent6 - 40%" xfId="67"/>
    <cellStyle name="Accent6 - 60%" xfId="68"/>
    <cellStyle name="Accent6 2" xfId="69"/>
    <cellStyle name="Accent6 3" xfId="70"/>
    <cellStyle name="AcctNum" xfId="71"/>
    <cellStyle name="active" xfId="72"/>
    <cellStyle name="Actual Date" xfId="73"/>
    <cellStyle name="Bad 2" xfId="74"/>
    <cellStyle name="Bad 3" xfId="75"/>
    <cellStyle name="Body" xfId="76"/>
    <cellStyle name="Calc Currency (0)" xfId="77"/>
    <cellStyle name="Calculation 2" xfId="78"/>
    <cellStyle name="Calculation 3" xfId="79"/>
    <cellStyle name="Check Cell 2" xfId="80"/>
    <cellStyle name="Check Cell 2 2" xfId="81"/>
    <cellStyle name="Check Cell 3" xfId="82"/>
    <cellStyle name="Check Cell 3 2" xfId="83"/>
    <cellStyle name="Comma 2" xfId="84"/>
    <cellStyle name="Comma 3" xfId="85"/>
    <cellStyle name="Comma 4" xfId="86"/>
    <cellStyle name="Comma 5" xfId="87"/>
    <cellStyle name="Copied" xfId="88"/>
    <cellStyle name="Currency" xfId="1" builtinId="4"/>
    <cellStyle name="Currency [0]" xfId="209" builtinId="7" hidden="1"/>
    <cellStyle name="Currency 2" xfId="4"/>
    <cellStyle name="Currency 3" xfId="89"/>
    <cellStyle name="Currency 4" xfId="90"/>
    <cellStyle name="Currency 5" xfId="91"/>
    <cellStyle name="Date" xfId="92"/>
    <cellStyle name="Drop_Down" xfId="93"/>
    <cellStyle name="Emphasis 1" xfId="94"/>
    <cellStyle name="Emphasis 2" xfId="95"/>
    <cellStyle name="Emphasis 3" xfId="96"/>
    <cellStyle name="En-tête" xfId="98"/>
    <cellStyle name="Entered" xfId="97"/>
    <cellStyle name="EntryCell" xfId="99"/>
    <cellStyle name="EntryCurrency" xfId="100"/>
    <cellStyle name="EntryPercent" xfId="101"/>
    <cellStyle name="EntryPercent(1)" xfId="102"/>
    <cellStyle name="Explanatory Text 2" xfId="103"/>
    <cellStyle name="Explanatory Text 3" xfId="104"/>
    <cellStyle name="Fixed" xfId="105"/>
    <cellStyle name="Flashing" xfId="106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RMAT - Style1" xfId="107"/>
    <cellStyle name="Good 2" xfId="108"/>
    <cellStyle name="Good 3" xfId="109"/>
    <cellStyle name="Grey" xfId="110"/>
    <cellStyle name="HEADER" xfId="111"/>
    <cellStyle name="Header1" xfId="112"/>
    <cellStyle name="Header2" xfId="113"/>
    <cellStyle name="Heading 1 2" xfId="114"/>
    <cellStyle name="Heading 1 3" xfId="115"/>
    <cellStyle name="Heading 2 2" xfId="116"/>
    <cellStyle name="Heading 2 3" xfId="117"/>
    <cellStyle name="Heading 3 2" xfId="118"/>
    <cellStyle name="Heading 3 3" xfId="119"/>
    <cellStyle name="Heading 4 2" xfId="120"/>
    <cellStyle name="Heading 4 3" xfId="121"/>
    <cellStyle name="Heading1" xfId="122"/>
    <cellStyle name="Heading2" xfId="123"/>
    <cellStyle name="HEADINGS" xfId="124"/>
    <cellStyle name="HEADINGSTOP" xfId="125"/>
    <cellStyle name="HIGHLIGHT" xfId="126"/>
    <cellStyle name="HIGHLIGHT 2" xfId="127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Input [yellow]" xfId="128"/>
    <cellStyle name="Input 2" xfId="129"/>
    <cellStyle name="Input 3" xfId="130"/>
    <cellStyle name="Linked Cell 2" xfId="131"/>
    <cellStyle name="Linked Cell 3" xfId="132"/>
    <cellStyle name="LORI" xfId="133"/>
    <cellStyle name="Milliers [0]_!!!GO" xfId="134"/>
    <cellStyle name="Monétaire [0]_!!!GO" xfId="135"/>
    <cellStyle name="Monétaire_!!!GO" xfId="136"/>
    <cellStyle name="Neutral 2" xfId="137"/>
    <cellStyle name="Neutral 3" xfId="138"/>
    <cellStyle name="no dec" xfId="139"/>
    <cellStyle name="Normal" xfId="0" builtinId="0" customBuiltin="1"/>
    <cellStyle name="Normal - Style1" xfId="140"/>
    <cellStyle name="Normal 10" xfId="3"/>
    <cellStyle name="Normal 11" xfId="141"/>
    <cellStyle name="Normal 12" xfId="142"/>
    <cellStyle name="Normal 13" xfId="143"/>
    <cellStyle name="Normal 14" xfId="144"/>
    <cellStyle name="Normal 15" xfId="145"/>
    <cellStyle name="Normal 16" xfId="146"/>
    <cellStyle name="Normal 17" xfId="147"/>
    <cellStyle name="Normal 18" xfId="148"/>
    <cellStyle name="Normal 19" xfId="149"/>
    <cellStyle name="Normal 2" xfId="150"/>
    <cellStyle name="Normal 2 2" xfId="151"/>
    <cellStyle name="Normal 21" xfId="152"/>
    <cellStyle name="Normal 22" xfId="153"/>
    <cellStyle name="Normal 23" xfId="154"/>
    <cellStyle name="Normal 24" xfId="155"/>
    <cellStyle name="Normal 3" xfId="156"/>
    <cellStyle name="Normal 4" xfId="157"/>
    <cellStyle name="Normal 5" xfId="158"/>
    <cellStyle name="Normal 6" xfId="159"/>
    <cellStyle name="Normal 7" xfId="160"/>
    <cellStyle name="Normal 8" xfId="161"/>
    <cellStyle name="Normal 9" xfId="162"/>
    <cellStyle name="Note 2" xfId="163"/>
    <cellStyle name="Note 3" xfId="164"/>
    <cellStyle name="Output 2" xfId="165"/>
    <cellStyle name="Output 3" xfId="166"/>
    <cellStyle name="Output Amounts" xfId="167"/>
    <cellStyle name="Output Column Headings" xfId="168"/>
    <cellStyle name="Output Line Items" xfId="169"/>
    <cellStyle name="Output Report Heading" xfId="170"/>
    <cellStyle name="Output Report Title" xfId="171"/>
    <cellStyle name="Override" xfId="172"/>
    <cellStyle name="OverWrForm" xfId="173"/>
    <cellStyle name="OverWrForm(2)" xfId="174"/>
    <cellStyle name="OverWrPerc(2)" xfId="175"/>
    <cellStyle name="per.style" xfId="176"/>
    <cellStyle name="Percent" xfId="2" builtinId="5"/>
    <cellStyle name="Percent [2]" xfId="177"/>
    <cellStyle name="Percent 2" xfId="178"/>
    <cellStyle name="Percent 3" xfId="179"/>
    <cellStyle name="Percent 4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gstoresfromspecstores" xfId="187"/>
    <cellStyle name="RevList" xfId="188"/>
    <cellStyle name="RPO" xfId="189"/>
    <cellStyle name="SHADEDSTORES" xfId="190"/>
    <cellStyle name="Sheet Title" xfId="191"/>
    <cellStyle name="Small" xfId="192"/>
    <cellStyle name="specstores" xfId="193"/>
    <cellStyle name="StdComma(0)" xfId="194"/>
    <cellStyle name="Style 1" xfId="195"/>
    <cellStyle name="Subtotal" xfId="196"/>
    <cellStyle name="Title 2" xfId="197"/>
    <cellStyle name="Title 3" xfId="198"/>
    <cellStyle name="Total 2" xfId="199"/>
    <cellStyle name="Total 3" xfId="200"/>
    <cellStyle name="TotalHilite" xfId="201"/>
    <cellStyle name="TotalRow" xfId="202"/>
    <cellStyle name="Unprot" xfId="203"/>
    <cellStyle name="Unprot$" xfId="204"/>
    <cellStyle name="Unprotect" xfId="205"/>
    <cellStyle name="Unprotect 2" xfId="206"/>
    <cellStyle name="Warning Text 2" xfId="207"/>
    <cellStyle name="Warning Text 3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abSelected="1" zoomScale="125" zoomScaleNormal="125" zoomScaleSheetLayoutView="115" zoomScalePageLayoutView="12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1" sqref="E21"/>
    </sheetView>
  </sheetViews>
  <sheetFormatPr baseColWidth="10" defaultColWidth="8.83203125" defaultRowHeight="14" x14ac:dyDescent="0"/>
  <cols>
    <col min="1" max="1" width="60.6640625" bestFit="1" customWidth="1"/>
    <col min="2" max="2" width="13.33203125" bestFit="1" customWidth="1"/>
    <col min="3" max="3" width="11.5" bestFit="1" customWidth="1"/>
  </cols>
  <sheetData>
    <row r="1" spans="1:3">
      <c r="A1" s="24" t="s">
        <v>36</v>
      </c>
      <c r="B1" s="24"/>
      <c r="C1" s="24" t="s">
        <v>35</v>
      </c>
    </row>
    <row r="2" spans="1:3" hidden="1">
      <c r="A2" t="s">
        <v>136</v>
      </c>
      <c r="C2" s="17" t="str">
        <f>VLOOKUP(C$1,Towns!$C$2:$AC$2,22)</f>
        <v>Passed</v>
      </c>
    </row>
    <row r="3" spans="1:3">
      <c r="A3" t="s">
        <v>2</v>
      </c>
      <c r="C3" s="17">
        <v>30</v>
      </c>
    </row>
    <row r="4" spans="1:3">
      <c r="A4" t="s">
        <v>3</v>
      </c>
      <c r="C4" s="17">
        <v>1.5</v>
      </c>
    </row>
    <row r="5" spans="1:3" s="74" customFormat="1">
      <c r="A5" s="74" t="s">
        <v>8</v>
      </c>
      <c r="C5" s="75">
        <f>VLOOKUP(C$1,Towns!$C$2:$V$2,10)</f>
        <v>963</v>
      </c>
    </row>
    <row r="6" spans="1:3" s="74" customFormat="1">
      <c r="A6" s="74" t="s">
        <v>9</v>
      </c>
      <c r="C6" s="76">
        <f>VLOOKUP(C$1,Towns!$C$2:$V$2,13)</f>
        <v>212</v>
      </c>
    </row>
    <row r="7" spans="1:3">
      <c r="A7" t="s">
        <v>121</v>
      </c>
      <c r="C7" s="14">
        <f>C6/(SUM(C3:C4))</f>
        <v>6.7301587301587302</v>
      </c>
    </row>
    <row r="8" spans="1:3">
      <c r="A8" t="s">
        <v>10</v>
      </c>
      <c r="C8" s="1">
        <v>0.6</v>
      </c>
    </row>
    <row r="9" spans="1:3" s="74" customFormat="1">
      <c r="A9" s="74" t="s">
        <v>40</v>
      </c>
      <c r="C9" s="77">
        <f>ROUND(C6*C8,0)</f>
        <v>127</v>
      </c>
    </row>
    <row r="11" spans="1:3">
      <c r="A11" s="24" t="s">
        <v>169</v>
      </c>
      <c r="B11" s="24"/>
      <c r="C11" s="24"/>
    </row>
    <row r="12" spans="1:3">
      <c r="A12" s="3" t="s">
        <v>39</v>
      </c>
      <c r="B12" s="4">
        <v>589.4</v>
      </c>
      <c r="C12" s="18">
        <f>$B$12*C3</f>
        <v>17682</v>
      </c>
    </row>
    <row r="13" spans="1:3">
      <c r="A13" s="3" t="s">
        <v>5</v>
      </c>
      <c r="B13" s="4">
        <v>0</v>
      </c>
      <c r="C13" s="18">
        <f>$B$13*C5</f>
        <v>0</v>
      </c>
    </row>
    <row r="14" spans="1:3">
      <c r="A14" s="3" t="s">
        <v>4</v>
      </c>
      <c r="B14" s="4">
        <v>189</v>
      </c>
      <c r="C14" s="18">
        <f>$B$14*C3</f>
        <v>5670</v>
      </c>
    </row>
    <row r="15" spans="1:3" ht="15" thickBot="1">
      <c r="A15" s="3" t="s">
        <v>43</v>
      </c>
      <c r="B15" s="4">
        <v>546</v>
      </c>
      <c r="C15" s="18">
        <f>$B$15*C3</f>
        <v>16380</v>
      </c>
    </row>
    <row r="16" spans="1:3" ht="15" thickBot="1">
      <c r="A16" s="3" t="s">
        <v>49</v>
      </c>
      <c r="B16" s="4"/>
      <c r="C16" s="19">
        <f>SUM(C12:C15)</f>
        <v>39732</v>
      </c>
    </row>
    <row r="17" spans="1:3">
      <c r="A17" s="3"/>
      <c r="B17" s="4"/>
      <c r="C17" s="18"/>
    </row>
    <row r="18" spans="1:3">
      <c r="A18" s="24" t="s">
        <v>170</v>
      </c>
      <c r="B18" s="24"/>
      <c r="C18" s="24"/>
    </row>
    <row r="19" spans="1:3">
      <c r="A19" s="3" t="s">
        <v>6</v>
      </c>
      <c r="B19" s="4">
        <v>10</v>
      </c>
      <c r="C19" s="18">
        <f>$B$19*C5</f>
        <v>9630</v>
      </c>
    </row>
    <row r="20" spans="1:3">
      <c r="A20" s="3" t="s">
        <v>133</v>
      </c>
      <c r="B20" s="4">
        <v>57</v>
      </c>
      <c r="C20" s="18">
        <f>$B$20*C5</f>
        <v>54891</v>
      </c>
    </row>
    <row r="21" spans="1:3">
      <c r="A21" s="3" t="s">
        <v>131</v>
      </c>
      <c r="B21" s="4">
        <v>15</v>
      </c>
      <c r="C21" s="18">
        <f>$B$21*C5</f>
        <v>14445</v>
      </c>
    </row>
    <row r="22" spans="1:3">
      <c r="A22" s="3" t="s">
        <v>45</v>
      </c>
      <c r="B22" s="1">
        <v>1</v>
      </c>
      <c r="C22" s="18">
        <f>$B$22*C5</f>
        <v>963</v>
      </c>
    </row>
    <row r="23" spans="1:3" ht="15" thickBot="1">
      <c r="A23" s="3" t="s">
        <v>144</v>
      </c>
      <c r="B23" s="4">
        <v>400</v>
      </c>
      <c r="C23" s="20">
        <f t="shared" ref="C23" si="0">$B$23*C22</f>
        <v>385200</v>
      </c>
    </row>
    <row r="24" spans="1:3" ht="15" thickBot="1">
      <c r="A24" s="3" t="s">
        <v>47</v>
      </c>
      <c r="B24" s="4"/>
      <c r="C24" s="19">
        <f>SUM(C19:C23)</f>
        <v>465129</v>
      </c>
    </row>
    <row r="25" spans="1:3">
      <c r="A25" s="3"/>
      <c r="B25" s="4"/>
      <c r="C25" s="18"/>
    </row>
    <row r="26" spans="1:3">
      <c r="A26" s="24" t="s">
        <v>38</v>
      </c>
      <c r="B26" s="24"/>
      <c r="C26" s="24"/>
    </row>
    <row r="27" spans="1:3">
      <c r="A27" s="3" t="s">
        <v>128</v>
      </c>
      <c r="B27" s="43">
        <v>140</v>
      </c>
      <c r="C27" s="44">
        <f>$B27*C$9</f>
        <v>17780</v>
      </c>
    </row>
    <row r="28" spans="1:3">
      <c r="A28" s="3"/>
      <c r="B28" s="39"/>
      <c r="C28" s="18"/>
    </row>
    <row r="29" spans="1:3">
      <c r="A29" s="3" t="s">
        <v>37</v>
      </c>
      <c r="B29" s="43">
        <f>SUM(B30:B31)</f>
        <v>588.63900000000001</v>
      </c>
      <c r="C29" s="46">
        <f t="shared" ref="C29" si="1">SUM(C30:C31)</f>
        <v>74757.152999999991</v>
      </c>
    </row>
    <row r="30" spans="1:3">
      <c r="A30" s="36" t="s">
        <v>72</v>
      </c>
      <c r="B30" s="38">
        <f>'Construction Costs'!B24</f>
        <v>208.63899999999998</v>
      </c>
      <c r="C30" s="56">
        <f t="shared" ref="C30" si="2">$B30*C$9</f>
        <v>26497.152999999998</v>
      </c>
    </row>
    <row r="31" spans="1:3">
      <c r="A31" s="36" t="s">
        <v>114</v>
      </c>
      <c r="B31" s="38">
        <v>380</v>
      </c>
      <c r="C31" s="18">
        <f>$B31*C$9</f>
        <v>48260</v>
      </c>
    </row>
    <row r="32" spans="1:3">
      <c r="A32" s="3"/>
      <c r="B32" s="39"/>
      <c r="C32" s="18"/>
    </row>
    <row r="33" spans="1:3">
      <c r="A33" s="3" t="s">
        <v>1</v>
      </c>
      <c r="B33" s="43">
        <f>SUM(B34:B35)</f>
        <v>15570.61</v>
      </c>
      <c r="C33" s="46">
        <f t="shared" ref="C33" si="3">SUM(C34:C35)</f>
        <v>467118.30000000005</v>
      </c>
    </row>
    <row r="34" spans="1:3">
      <c r="A34" s="36" t="s">
        <v>72</v>
      </c>
      <c r="B34" s="39">
        <f>'Construction Costs'!B39</f>
        <v>8231.41</v>
      </c>
      <c r="C34" s="56">
        <f>$B34*C$3</f>
        <v>246942.3</v>
      </c>
    </row>
    <row r="35" spans="1:3">
      <c r="A35" s="36" t="s">
        <v>114</v>
      </c>
      <c r="B35" s="39">
        <f>5280*SUM(ConstStrandLF+ConstFiberLF)</f>
        <v>7339.2000000000007</v>
      </c>
      <c r="C35" s="18">
        <f>$B35*C$3</f>
        <v>220176.00000000003</v>
      </c>
    </row>
    <row r="36" spans="1:3">
      <c r="A36" s="3"/>
      <c r="B36" s="39"/>
      <c r="C36" s="18"/>
    </row>
    <row r="37" spans="1:3">
      <c r="A37" s="3" t="s">
        <v>0</v>
      </c>
      <c r="B37" s="43">
        <f>SUM(B38:B40)</f>
        <v>89387.799999999988</v>
      </c>
      <c r="C37" s="46">
        <f t="shared" ref="C37" si="4">SUM(C38:C40)</f>
        <v>134081.69999999998</v>
      </c>
    </row>
    <row r="38" spans="1:3">
      <c r="A38" s="36" t="s">
        <v>116</v>
      </c>
      <c r="B38" s="39">
        <f>'Construction Costs'!B48</f>
        <v>78803.199999999997</v>
      </c>
      <c r="C38" s="18">
        <f t="shared" ref="C38:C40" si="5">$B38*C$4</f>
        <v>118204.79999999999</v>
      </c>
    </row>
    <row r="39" spans="1:3">
      <c r="A39" s="36" t="s">
        <v>72</v>
      </c>
      <c r="B39" s="39">
        <f>'Construction Costs'!B37</f>
        <v>5885.4</v>
      </c>
      <c r="C39" s="56">
        <f t="shared" si="5"/>
        <v>8828.0999999999985</v>
      </c>
    </row>
    <row r="40" spans="1:3">
      <c r="A40" s="36" t="s">
        <v>114</v>
      </c>
      <c r="B40" s="39">
        <f>5280*SUM(ConstFiberLF)</f>
        <v>4699.2</v>
      </c>
      <c r="C40" s="18">
        <f t="shared" si="5"/>
        <v>7048.7999999999993</v>
      </c>
    </row>
    <row r="41" spans="1:3">
      <c r="A41" s="3"/>
      <c r="B41" s="39"/>
      <c r="C41" s="18"/>
    </row>
    <row r="42" spans="1:3">
      <c r="A42" s="3" t="s">
        <v>120</v>
      </c>
      <c r="B42" s="43">
        <f>SUM(B46:B47)</f>
        <v>480</v>
      </c>
      <c r="C42" s="46">
        <f t="shared" ref="C42" si="6">SUM(C46:C47)</f>
        <v>48000</v>
      </c>
    </row>
    <row r="43" spans="1:3" s="75" customFormat="1">
      <c r="A43" s="59" t="s">
        <v>123</v>
      </c>
      <c r="B43" s="78">
        <f>SubsPerMST</f>
        <v>2.34</v>
      </c>
    </row>
    <row r="44" spans="1:3" s="3" customFormat="1">
      <c r="A44" s="36" t="s">
        <v>122</v>
      </c>
      <c r="B44" s="40"/>
      <c r="C44" s="49">
        <f t="shared" ref="C44" si="7">PDusPerMileWFLD/C7</f>
        <v>9.8600943396226413</v>
      </c>
    </row>
    <row r="45" spans="1:3">
      <c r="A45" s="36" t="s">
        <v>125</v>
      </c>
      <c r="B45" s="39"/>
      <c r="C45" s="23">
        <f t="shared" ref="C45" si="8">ROUNDUP(C6/SubsPerMST*(1+1/C44),0)</f>
        <v>100</v>
      </c>
    </row>
    <row r="46" spans="1:3">
      <c r="A46" s="36" t="s">
        <v>126</v>
      </c>
      <c r="B46" s="39">
        <f>ConstMST</f>
        <v>200</v>
      </c>
      <c r="C46" s="18">
        <f t="shared" ref="C46" si="9">C45*$B$46</f>
        <v>20000</v>
      </c>
    </row>
    <row r="47" spans="1:3">
      <c r="A47" s="36" t="s">
        <v>72</v>
      </c>
      <c r="B47" s="39">
        <f>AVERAGE('Construction Costs'!B27:B28)</f>
        <v>280</v>
      </c>
      <c r="C47" s="56">
        <f>$B$47*C45</f>
        <v>28000</v>
      </c>
    </row>
    <row r="48" spans="1:3">
      <c r="A48" s="36"/>
      <c r="B48" s="39"/>
      <c r="C48" s="18"/>
    </row>
    <row r="49" spans="1:3">
      <c r="A49" s="3" t="s">
        <v>117</v>
      </c>
      <c r="B49" s="43">
        <f>B52</f>
        <v>22</v>
      </c>
      <c r="C49" s="46">
        <f t="shared" ref="C49" si="10">C52</f>
        <v>10472</v>
      </c>
    </row>
    <row r="50" spans="1:3" s="61" customFormat="1">
      <c r="A50" s="59" t="s">
        <v>118</v>
      </c>
      <c r="B50" s="78">
        <f>SplicePerMST</f>
        <v>4.75</v>
      </c>
    </row>
    <row r="51" spans="1:3" s="35" customFormat="1">
      <c r="A51" s="36" t="s">
        <v>119</v>
      </c>
      <c r="B51" s="41"/>
      <c r="C51" s="76">
        <f>MROUND(C45*$B$50,2)</f>
        <v>476</v>
      </c>
    </row>
    <row r="52" spans="1:3" s="35" customFormat="1">
      <c r="A52" s="36" t="s">
        <v>127</v>
      </c>
      <c r="B52" s="39">
        <f>ConstSplice</f>
        <v>22</v>
      </c>
      <c r="C52" s="18">
        <f>$B$52*C51</f>
        <v>10472</v>
      </c>
    </row>
    <row r="53" spans="1:3" s="35" customFormat="1">
      <c r="A53" s="36"/>
      <c r="B53" s="41"/>
      <c r="C53" s="37"/>
    </row>
    <row r="54" spans="1:3">
      <c r="A54" s="3" t="s">
        <v>129</v>
      </c>
      <c r="B54" s="43">
        <f>ConstTest</f>
        <v>42</v>
      </c>
      <c r="C54" s="44">
        <f>$B$54*C45</f>
        <v>4200</v>
      </c>
    </row>
    <row r="55" spans="1:3">
      <c r="A55" s="3"/>
      <c r="B55" s="39"/>
      <c r="C55" s="18"/>
    </row>
    <row r="56" spans="1:3">
      <c r="A56" s="16" t="s">
        <v>132</v>
      </c>
      <c r="B56" s="43">
        <f>50*4*8</f>
        <v>1600</v>
      </c>
      <c r="C56" s="44">
        <f>$B$56*C105</f>
        <v>67200</v>
      </c>
    </row>
    <row r="57" spans="1:3">
      <c r="A57" s="55"/>
      <c r="B57" s="39"/>
      <c r="C57" s="18"/>
    </row>
    <row r="58" spans="1:3">
      <c r="A58" s="57"/>
      <c r="B58" s="39"/>
      <c r="C58" s="18"/>
    </row>
    <row r="59" spans="1:3">
      <c r="A59" s="3" t="s">
        <v>42</v>
      </c>
      <c r="B59" s="45">
        <v>100000</v>
      </c>
      <c r="C59" s="47">
        <f>$B$59</f>
        <v>100000</v>
      </c>
    </row>
    <row r="60" spans="1:3" ht="15" thickBot="1">
      <c r="A60" s="3"/>
      <c r="B60" s="42"/>
      <c r="C60" s="18"/>
    </row>
    <row r="61" spans="1:3" ht="15" thickBot="1">
      <c r="A61" s="3" t="s">
        <v>48</v>
      </c>
      <c r="B61" s="15"/>
      <c r="C61" s="19">
        <f>SUM(C27,C29,C33,C42,C49,C54,C56,C59)</f>
        <v>789527.45299999998</v>
      </c>
    </row>
    <row r="62" spans="1:3">
      <c r="A62" s="55"/>
      <c r="B62" s="15"/>
      <c r="C62" s="18"/>
    </row>
    <row r="63" spans="1:3">
      <c r="A63" s="24" t="s">
        <v>41</v>
      </c>
      <c r="B63" s="24"/>
      <c r="C63" s="24"/>
    </row>
    <row r="64" spans="1:3">
      <c r="A64" s="3" t="s">
        <v>7</v>
      </c>
      <c r="B64" s="2">
        <v>1.2500000000000001E-2</v>
      </c>
      <c r="C64" s="18">
        <f>$B$64*SUM(C31,C35,C40,C46,C49,C54)</f>
        <v>3876.96</v>
      </c>
    </row>
    <row r="65" spans="1:3" ht="15" thickBot="1">
      <c r="A65" s="3" t="s">
        <v>145</v>
      </c>
      <c r="B65" s="2">
        <v>0.01</v>
      </c>
      <c r="C65" s="18">
        <f>$B$65*SUM(C30,C34,C39,C47,C59)</f>
        <v>4102.6755299999995</v>
      </c>
    </row>
    <row r="66" spans="1:3" s="75" customFormat="1" ht="15" thickBot="1">
      <c r="A66" s="80" t="s">
        <v>171</v>
      </c>
      <c r="B66" s="81" t="s">
        <v>172</v>
      </c>
      <c r="C66" s="19">
        <f>SUM(C64:C65)</f>
        <v>7979.6355299999996</v>
      </c>
    </row>
    <row r="67" spans="1:3" ht="15" thickBot="1">
      <c r="A67" s="80" t="s">
        <v>173</v>
      </c>
      <c r="B67" s="2">
        <v>0.06</v>
      </c>
      <c r="C67" s="19">
        <f>$B$67*C61</f>
        <v>47371.64718</v>
      </c>
    </row>
    <row r="68" spans="1:3" ht="15" thickBot="1">
      <c r="A68" s="3" t="s">
        <v>50</v>
      </c>
      <c r="C68" s="19">
        <f>SUM(C66:C67)</f>
        <v>55351.282709999999</v>
      </c>
    </row>
    <row r="69" spans="1:3">
      <c r="C69" s="18"/>
    </row>
    <row r="70" spans="1:3">
      <c r="A70" s="24" t="s">
        <v>46</v>
      </c>
      <c r="B70" s="48"/>
      <c r="C70" s="48">
        <f t="shared" ref="C70" si="11">C16+C24+C61+C68</f>
        <v>1349739.7357099999</v>
      </c>
    </row>
    <row r="72" spans="1:3">
      <c r="A72" s="16" t="s">
        <v>15</v>
      </c>
      <c r="C72" s="22">
        <f>VLOOKUP(C$1,Towns!$C$2:$V$2,3)</f>
        <v>1300000</v>
      </c>
    </row>
    <row r="73" spans="1:3">
      <c r="A73" s="16" t="s">
        <v>16</v>
      </c>
      <c r="C73" s="22">
        <f>VLOOKUP(C$1,Towns!$C$2:$V$2,4)</f>
        <v>220000</v>
      </c>
    </row>
    <row r="74" spans="1:3">
      <c r="A74" s="16" t="s">
        <v>17</v>
      </c>
      <c r="C74" s="22">
        <f>VLOOKUP(C$1,Towns!$C$2:$V$2,5)</f>
        <v>220000</v>
      </c>
    </row>
    <row r="75" spans="1:3">
      <c r="A75" s="16" t="s">
        <v>18</v>
      </c>
      <c r="C75" s="22">
        <f>VLOOKUP(C$1,Towns!$C$2:$V$413,6)</f>
        <v>860000</v>
      </c>
    </row>
    <row r="77" spans="1:3">
      <c r="A77" s="24" t="s">
        <v>61</v>
      </c>
      <c r="B77" s="48"/>
      <c r="C77" s="48">
        <f>C72-C70</f>
        <v>-49739.735709999921</v>
      </c>
    </row>
    <row r="81" spans="1:3">
      <c r="A81" s="24" t="s">
        <v>51</v>
      </c>
      <c r="B81" s="26" t="s">
        <v>75</v>
      </c>
      <c r="C81" s="24"/>
    </row>
    <row r="82" spans="1:3">
      <c r="B82" s="25"/>
    </row>
    <row r="83" spans="1:3">
      <c r="A83" s="24" t="s">
        <v>76</v>
      </c>
      <c r="B83" s="24"/>
      <c r="C83" s="24"/>
    </row>
    <row r="84" spans="1:3">
      <c r="A84" s="3" t="s">
        <v>77</v>
      </c>
      <c r="B84" s="27">
        <v>0.1</v>
      </c>
      <c r="C84" s="21"/>
    </row>
    <row r="85" spans="1:3">
      <c r="B85" s="25"/>
    </row>
    <row r="86" spans="1:3">
      <c r="A86" s="24" t="s">
        <v>52</v>
      </c>
      <c r="B86" s="24"/>
      <c r="C86" s="24"/>
    </row>
    <row r="87" spans="1:3">
      <c r="A87" s="3" t="s">
        <v>78</v>
      </c>
      <c r="B87" s="25"/>
      <c r="C87" s="21">
        <v>42948</v>
      </c>
    </row>
    <row r="88" spans="1:3">
      <c r="A88" s="3" t="s">
        <v>86</v>
      </c>
      <c r="B88" s="79">
        <v>20</v>
      </c>
      <c r="C88" s="21">
        <f t="shared" ref="C88" si="12">WORKDAY(C87,$B$88*(1+Delay),Holidays)</f>
        <v>42978</v>
      </c>
    </row>
    <row r="89" spans="1:3">
      <c r="A89" s="3"/>
      <c r="B89" s="62"/>
      <c r="C89" s="21"/>
    </row>
    <row r="90" spans="1:3">
      <c r="A90" s="24" t="s">
        <v>53</v>
      </c>
      <c r="B90" s="63"/>
      <c r="C90" s="24"/>
    </row>
    <row r="91" spans="1:3">
      <c r="A91" s="3" t="s">
        <v>54</v>
      </c>
      <c r="B91" s="79">
        <v>10</v>
      </c>
      <c r="C91" s="21">
        <f t="shared" ref="C91" si="13">WORKDAY(C88,$B$91*(1+Delay),Holidays)</f>
        <v>42993</v>
      </c>
    </row>
    <row r="92" spans="1:3" s="58" customFormat="1">
      <c r="A92" s="60" t="s">
        <v>85</v>
      </c>
      <c r="B92" s="79">
        <v>25</v>
      </c>
      <c r="C92">
        <f t="shared" ref="C92" si="14">ROUNDUP(C5/SurveyPolePerDay,0)</f>
        <v>39</v>
      </c>
    </row>
    <row r="93" spans="1:3">
      <c r="A93" s="3" t="s">
        <v>58</v>
      </c>
      <c r="B93" s="72"/>
      <c r="C93" s="21">
        <f t="shared" ref="C93" si="15">WORKDAY(C$91,C$92*(1+Delay),Holidays)</f>
        <v>43053</v>
      </c>
    </row>
    <row r="94" spans="1:3" s="58" customFormat="1">
      <c r="A94" s="60" t="s">
        <v>84</v>
      </c>
      <c r="B94" s="79">
        <v>1</v>
      </c>
      <c r="C94">
        <f t="shared" ref="C94" si="16">ROUNDUP(SUM(C3:C4)/DesignPerDay,0)</f>
        <v>32</v>
      </c>
    </row>
    <row r="95" spans="1:3">
      <c r="A95" s="3" t="s">
        <v>62</v>
      </c>
      <c r="B95" s="72"/>
      <c r="C95" s="21">
        <f t="shared" ref="C95" si="17">WORKDAY(C93,C94*(1+Delay),Holidays)</f>
        <v>43102</v>
      </c>
    </row>
    <row r="96" spans="1:3">
      <c r="A96" s="3"/>
      <c r="B96" s="72"/>
    </row>
    <row r="97" spans="1:3">
      <c r="A97" s="24" t="s">
        <v>44</v>
      </c>
      <c r="B97" s="73"/>
      <c r="C97" s="24"/>
    </row>
    <row r="98" spans="1:3" s="58" customFormat="1">
      <c r="A98" s="60" t="s">
        <v>57</v>
      </c>
      <c r="B98" s="79">
        <v>40</v>
      </c>
      <c r="C98">
        <f t="shared" ref="C98" si="18">ROUNDUP(C5/PoleAppsPerDay, 0)</f>
        <v>25</v>
      </c>
    </row>
    <row r="99" spans="1:3" s="58" customFormat="1">
      <c r="A99" s="64" t="s">
        <v>59</v>
      </c>
      <c r="B99" s="72"/>
      <c r="C99">
        <f t="shared" ref="C99" si="19">ROUNDUP(C5/200,0)</f>
        <v>5</v>
      </c>
    </row>
    <row r="100" spans="1:3">
      <c r="A100" s="3" t="s">
        <v>56</v>
      </c>
      <c r="B100" s="72"/>
      <c r="C100" s="21">
        <f t="shared" ref="C100" si="20">WORKDAY(C93-30,C98*(1+Delay),Holidays)</f>
        <v>43060</v>
      </c>
    </row>
    <row r="101" spans="1:3">
      <c r="A101" s="3" t="s">
        <v>81</v>
      </c>
      <c r="B101" s="79">
        <v>30</v>
      </c>
      <c r="C101" s="21">
        <f t="shared" ref="C101" si="21">WORKDAY(C100,$B$101*(1+Delay),Holidays)</f>
        <v>43105</v>
      </c>
    </row>
    <row r="102" spans="1:3">
      <c r="A102" s="3" t="s">
        <v>82</v>
      </c>
      <c r="B102" s="79">
        <v>120</v>
      </c>
      <c r="C102" s="21">
        <f t="shared" ref="C102" si="22">WORKDAY(C101,$B$102*(1+Delay),Holidays)</f>
        <v>43291</v>
      </c>
    </row>
    <row r="103" spans="1:3">
      <c r="A103" s="3"/>
      <c r="B103" s="72"/>
    </row>
    <row r="104" spans="1:3">
      <c r="A104" s="24" t="s">
        <v>38</v>
      </c>
      <c r="B104" s="73"/>
      <c r="C104" s="24"/>
    </row>
    <row r="105" spans="1:3">
      <c r="A105" t="s">
        <v>60</v>
      </c>
      <c r="B105">
        <v>0.75</v>
      </c>
      <c r="C105">
        <f t="shared" ref="C105" si="23">ROUNDUP(SUM(C3:C4)/ConstMilePerDay,0)</f>
        <v>42</v>
      </c>
    </row>
    <row r="106" spans="1:3">
      <c r="A106" s="3" t="s">
        <v>80</v>
      </c>
      <c r="B106" s="72"/>
      <c r="C106" s="21">
        <f t="shared" ref="C106" si="24">WORKDAY(C102,(C105/2)*(1+Delay),Holidays)</f>
        <v>43322</v>
      </c>
    </row>
    <row r="107" spans="1:3">
      <c r="A107" s="3" t="s">
        <v>79</v>
      </c>
      <c r="B107" s="72"/>
      <c r="C107" s="21">
        <f t="shared" ref="C107" si="25">WORKDAY(C106,(C105/2)*(1+Delay),Holidays)</f>
        <v>43355</v>
      </c>
    </row>
    <row r="108" spans="1:3">
      <c r="A108" s="3" t="s">
        <v>83</v>
      </c>
      <c r="B108" s="79">
        <v>20</v>
      </c>
      <c r="C108" s="21">
        <f t="shared" ref="C108" si="26">WORKDAY(C107,$B$108*(1+Delay),Holidays)</f>
        <v>43385</v>
      </c>
    </row>
    <row r="109" spans="1:3">
      <c r="B109" s="58"/>
    </row>
    <row r="111" spans="1:3">
      <c r="C111" s="68">
        <f t="shared" ref="C111" si="27">C16+C19+C68</f>
        <v>104713.28271</v>
      </c>
    </row>
  </sheetData>
  <dataValidations count="1">
    <dataValidation type="list" allowBlank="1" showInputMessage="1" showErrorMessage="1" sqref="C1">
      <formula1>Town</formula1>
    </dataValidation>
  </dataValidations>
  <pageMargins left="0.7" right="0.7" top="0.75" bottom="0.75" header="0.3" footer="0.3"/>
  <pageSetup orientation="portrait"/>
  <rowBreaks count="3" manualBreakCount="3">
    <brk id="25" max="16383" man="1"/>
    <brk id="62" max="16383" man="1"/>
    <brk id="8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"/>
  <sheetViews>
    <sheetView zoomScale="125" zoomScaleNormal="125" zoomScalePageLayoutView="125" workbookViewId="0">
      <pane xSplit="3" ySplit="1" topLeftCell="F2" activePane="bottomRight" state="frozen"/>
      <selection pane="topRight" activeCell="C1" sqref="C1"/>
      <selection pane="bottomLeft" activeCell="A2" sqref="A2"/>
      <selection pane="bottomRight" activeCell="N2" sqref="N2"/>
    </sheetView>
  </sheetViews>
  <sheetFormatPr baseColWidth="10" defaultColWidth="11.5" defaultRowHeight="14.75" customHeight="1" x14ac:dyDescent="0"/>
  <cols>
    <col min="1" max="1" width="9.33203125" style="7" bestFit="1" customWidth="1"/>
    <col min="2" max="2" width="9.33203125" style="8" customWidth="1"/>
    <col min="3" max="3" width="18.1640625" style="8" bestFit="1" customWidth="1"/>
    <col min="4" max="4" width="9.5" style="51" bestFit="1" customWidth="1"/>
    <col min="5" max="5" width="17.6640625" style="8" bestFit="1" customWidth="1"/>
    <col min="6" max="6" width="17" style="8" bestFit="1" customWidth="1"/>
    <col min="7" max="7" width="14.83203125" style="8" bestFit="1" customWidth="1"/>
    <col min="8" max="8" width="16.83203125" style="8" bestFit="1" customWidth="1"/>
    <col min="9" max="9" width="16.5" style="8" bestFit="1" customWidth="1"/>
    <col min="10" max="10" width="13.5" style="8" bestFit="1" customWidth="1"/>
    <col min="11" max="11" width="14.5" style="8" bestFit="1" customWidth="1"/>
    <col min="12" max="12" width="13" style="8" bestFit="1" customWidth="1"/>
    <col min="13" max="13" width="12.6640625" style="8" bestFit="1" customWidth="1"/>
    <col min="14" max="14" width="13.1640625" style="8" bestFit="1" customWidth="1"/>
    <col min="15" max="15" width="15.5" style="8" bestFit="1" customWidth="1"/>
    <col min="16" max="16" width="15.5" style="7" customWidth="1"/>
    <col min="17" max="19" width="12.6640625" style="8" bestFit="1" customWidth="1"/>
    <col min="20" max="20" width="16" style="8" bestFit="1" customWidth="1"/>
    <col min="21" max="21" width="16.33203125" style="8" bestFit="1" customWidth="1"/>
    <col min="22" max="22" width="17" style="8" bestFit="1" customWidth="1"/>
    <col min="23" max="23" width="17.83203125" style="8" bestFit="1" customWidth="1"/>
    <col min="24" max="24" width="14.1640625" style="8" bestFit="1" customWidth="1"/>
    <col min="25" max="25" width="27" style="8" bestFit="1" customWidth="1"/>
    <col min="26" max="26" width="37.5" style="8" bestFit="1" customWidth="1"/>
    <col min="27" max="27" width="15.83203125" style="8" bestFit="1" customWidth="1"/>
    <col min="28" max="28" width="17" style="54" bestFit="1" customWidth="1"/>
    <col min="29" max="29" width="16" style="8" bestFit="1" customWidth="1"/>
    <col min="30" max="30" width="12.83203125" style="66" bestFit="1" customWidth="1"/>
    <col min="31" max="31" width="14.83203125" style="70" bestFit="1" customWidth="1"/>
    <col min="32" max="16384" width="11.5" style="8"/>
  </cols>
  <sheetData>
    <row r="1" spans="1:31" s="6" customFormat="1" ht="70">
      <c r="A1" s="5" t="s">
        <v>11</v>
      </c>
      <c r="B1" s="5" t="s">
        <v>12</v>
      </c>
      <c r="C1" s="5" t="s">
        <v>13</v>
      </c>
      <c r="D1" s="50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5" t="s">
        <v>25</v>
      </c>
      <c r="P1" s="5" t="s">
        <v>168</v>
      </c>
      <c r="Q1" s="5" t="s">
        <v>26</v>
      </c>
      <c r="R1" s="5" t="s">
        <v>27</v>
      </c>
      <c r="S1" s="5" t="s">
        <v>28</v>
      </c>
      <c r="T1" s="5" t="s">
        <v>29</v>
      </c>
      <c r="U1" s="5" t="s">
        <v>30</v>
      </c>
      <c r="V1" s="5" t="s">
        <v>31</v>
      </c>
      <c r="W1" s="5" t="s">
        <v>134</v>
      </c>
      <c r="X1" s="5" t="s">
        <v>135</v>
      </c>
      <c r="Y1" s="5" t="s">
        <v>136</v>
      </c>
      <c r="Z1" s="5" t="s">
        <v>137</v>
      </c>
      <c r="AA1" s="5" t="s">
        <v>138</v>
      </c>
      <c r="AB1" s="53" t="s">
        <v>143</v>
      </c>
      <c r="AC1" s="5" t="s">
        <v>139</v>
      </c>
      <c r="AD1" s="65" t="s">
        <v>150</v>
      </c>
      <c r="AE1" s="69" t="s">
        <v>167</v>
      </c>
    </row>
    <row r="2" spans="1:31" ht="15" customHeight="1">
      <c r="A2" s="7" t="s">
        <v>32</v>
      </c>
      <c r="B2" s="7" t="s">
        <v>33</v>
      </c>
      <c r="C2" s="8" t="s">
        <v>35</v>
      </c>
      <c r="D2" s="51">
        <v>2019</v>
      </c>
      <c r="E2" s="9">
        <v>1300000</v>
      </c>
      <c r="F2" s="9">
        <v>220000</v>
      </c>
      <c r="G2" s="9">
        <v>220000</v>
      </c>
      <c r="H2" s="9">
        <v>860000</v>
      </c>
      <c r="I2" s="9">
        <v>360000</v>
      </c>
      <c r="J2" s="10">
        <v>209427</v>
      </c>
      <c r="K2" s="10">
        <v>154124</v>
      </c>
      <c r="L2" s="10">
        <v>963</v>
      </c>
      <c r="M2" s="10">
        <v>7700</v>
      </c>
      <c r="N2" s="11" t="s">
        <v>34</v>
      </c>
      <c r="O2" s="12">
        <v>212</v>
      </c>
      <c r="P2" s="71" t="s">
        <v>142</v>
      </c>
      <c r="Q2" s="12">
        <v>227</v>
      </c>
      <c r="R2" s="12">
        <v>209</v>
      </c>
      <c r="S2" s="12">
        <v>211</v>
      </c>
      <c r="T2" s="12">
        <v>167</v>
      </c>
      <c r="U2" s="12">
        <v>50</v>
      </c>
      <c r="V2" s="13">
        <f>U2/Q2</f>
        <v>0.22026431718061673</v>
      </c>
      <c r="W2" s="8" t="s">
        <v>130</v>
      </c>
      <c r="X2" s="8" t="s">
        <v>130</v>
      </c>
      <c r="Y2" s="6" t="s">
        <v>149</v>
      </c>
      <c r="Z2" s="6" t="s">
        <v>141</v>
      </c>
      <c r="AA2" s="6"/>
      <c r="AB2" s="52"/>
      <c r="AC2" s="8" t="s">
        <v>140</v>
      </c>
      <c r="AD2" s="67">
        <f t="shared" ref="AD2" si="0">K2/5280</f>
        <v>29.190151515151516</v>
      </c>
      <c r="AE2" s="70">
        <v>1</v>
      </c>
    </row>
  </sheetData>
  <autoFilter ref="A1:AE2"/>
  <dataValidations count="1">
    <dataValidation type="list" allowBlank="1" showInputMessage="1" showErrorMessage="1" sqref="Y2">
      <formula1>Status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B1" sqref="B1"/>
    </sheetView>
  </sheetViews>
  <sheetFormatPr baseColWidth="10" defaultColWidth="8.83203125" defaultRowHeight="14" x14ac:dyDescent="0"/>
  <cols>
    <col min="1" max="1" width="51.33203125" bestFit="1" customWidth="1"/>
    <col min="2" max="2" width="11.5" bestFit="1" customWidth="1"/>
  </cols>
  <sheetData>
    <row r="1" spans="1:2">
      <c r="A1" t="s">
        <v>124</v>
      </c>
      <c r="B1">
        <f>66.36</f>
        <v>66.36</v>
      </c>
    </row>
    <row r="3" spans="1:2">
      <c r="A3" t="s">
        <v>69</v>
      </c>
      <c r="B3" t="s">
        <v>68</v>
      </c>
    </row>
    <row r="4" spans="1:2">
      <c r="A4" t="s">
        <v>64</v>
      </c>
      <c r="B4" s="4">
        <v>0.5</v>
      </c>
    </row>
    <row r="5" spans="1:2">
      <c r="A5" t="s">
        <v>65</v>
      </c>
      <c r="B5" s="4">
        <v>0.89</v>
      </c>
    </row>
    <row r="6" spans="1:2">
      <c r="A6" t="s">
        <v>66</v>
      </c>
      <c r="B6" s="4">
        <v>200</v>
      </c>
    </row>
    <row r="7" spans="1:2">
      <c r="A7" t="s">
        <v>71</v>
      </c>
      <c r="B7" s="4">
        <v>22</v>
      </c>
    </row>
    <row r="8" spans="1:2">
      <c r="A8" t="s">
        <v>67</v>
      </c>
      <c r="B8" s="4">
        <v>42</v>
      </c>
    </row>
    <row r="10" spans="1:2">
      <c r="A10" t="s">
        <v>63</v>
      </c>
      <c r="B10">
        <v>2.34</v>
      </c>
    </row>
    <row r="11" spans="1:2">
      <c r="A11" t="s">
        <v>70</v>
      </c>
      <c r="B11">
        <v>4.75</v>
      </c>
    </row>
    <row r="13" spans="1:2">
      <c r="A13" t="s">
        <v>73</v>
      </c>
      <c r="B13" s="4">
        <v>10</v>
      </c>
    </row>
    <row r="14" spans="1:2">
      <c r="A14" t="s">
        <v>74</v>
      </c>
      <c r="B14" s="4">
        <v>20</v>
      </c>
    </row>
    <row r="16" spans="1:2">
      <c r="A16" t="s">
        <v>115</v>
      </c>
      <c r="B16" s="15">
        <f>0.8*B13+0.2*B14</f>
        <v>12</v>
      </c>
    </row>
    <row r="18" spans="1:3">
      <c r="A18" s="28" t="s">
        <v>87</v>
      </c>
      <c r="B18" s="4"/>
    </row>
    <row r="19" spans="1:3">
      <c r="A19" t="s">
        <v>88</v>
      </c>
      <c r="B19" s="4">
        <v>161.29</v>
      </c>
    </row>
    <row r="20" spans="1:3">
      <c r="A20" t="s">
        <v>89</v>
      </c>
      <c r="B20" s="4">
        <f>0.52*2</f>
        <v>1.04</v>
      </c>
    </row>
    <row r="21" spans="1:3">
      <c r="A21" t="s">
        <v>90</v>
      </c>
      <c r="B21" s="4">
        <v>4.2</v>
      </c>
    </row>
    <row r="22" spans="1:3">
      <c r="A22" t="s">
        <v>91</v>
      </c>
      <c r="B22" s="4">
        <v>21.49</v>
      </c>
    </row>
    <row r="23" spans="1:3">
      <c r="A23" s="29" t="s">
        <v>92</v>
      </c>
      <c r="B23" s="30">
        <v>20.619</v>
      </c>
    </row>
    <row r="24" spans="1:3">
      <c r="A24" s="28" t="s">
        <v>93</v>
      </c>
      <c r="B24" s="31">
        <f>SUM(B19:B23)</f>
        <v>208.63899999999998</v>
      </c>
    </row>
    <row r="25" spans="1:3">
      <c r="B25" s="4"/>
    </row>
    <row r="26" spans="1:3">
      <c r="B26" s="4"/>
    </row>
    <row r="27" spans="1:3">
      <c r="A27" s="28" t="s">
        <v>94</v>
      </c>
      <c r="B27" s="31">
        <v>342</v>
      </c>
      <c r="C27" t="s">
        <v>95</v>
      </c>
    </row>
    <row r="28" spans="1:3">
      <c r="A28" s="28" t="s">
        <v>96</v>
      </c>
      <c r="B28" s="31">
        <v>218</v>
      </c>
      <c r="C28" t="s">
        <v>97</v>
      </c>
    </row>
    <row r="29" spans="1:3">
      <c r="B29" s="4"/>
    </row>
    <row r="30" spans="1:3">
      <c r="A30" s="28" t="s">
        <v>98</v>
      </c>
      <c r="B30" s="4"/>
    </row>
    <row r="31" spans="1:3">
      <c r="A31" s="32" t="s">
        <v>99</v>
      </c>
      <c r="B31" s="33">
        <v>2346.0100000000002</v>
      </c>
      <c r="C31" t="s">
        <v>100</v>
      </c>
    </row>
    <row r="32" spans="1:3">
      <c r="A32" s="28" t="s">
        <v>93</v>
      </c>
      <c r="B32" s="31">
        <f>SUM(B31)</f>
        <v>2346.0100000000002</v>
      </c>
    </row>
    <row r="33" spans="1:3">
      <c r="B33" s="4"/>
    </row>
    <row r="34" spans="1:3">
      <c r="A34" s="28" t="s">
        <v>101</v>
      </c>
      <c r="B34" s="4"/>
    </row>
    <row r="35" spans="1:3">
      <c r="A35" t="s">
        <v>102</v>
      </c>
      <c r="B35" s="4">
        <f>0.62*5280*1.5</f>
        <v>4910.3999999999996</v>
      </c>
      <c r="C35" t="s">
        <v>103</v>
      </c>
    </row>
    <row r="36" spans="1:3">
      <c r="A36" s="32" t="s">
        <v>104</v>
      </c>
      <c r="B36" s="30">
        <f>650+325</f>
        <v>975</v>
      </c>
      <c r="C36" s="34" t="s">
        <v>105</v>
      </c>
    </row>
    <row r="37" spans="1:3">
      <c r="A37" s="28" t="s">
        <v>93</v>
      </c>
      <c r="B37" s="31">
        <f>SUM(B35:B36)</f>
        <v>5885.4</v>
      </c>
    </row>
    <row r="38" spans="1:3">
      <c r="B38" s="4"/>
    </row>
    <row r="39" spans="1:3">
      <c r="A39" t="s">
        <v>106</v>
      </c>
      <c r="B39" s="4">
        <f>+B37+B32</f>
        <v>8231.41</v>
      </c>
      <c r="C39" t="s">
        <v>107</v>
      </c>
    </row>
    <row r="40" spans="1:3">
      <c r="B40" s="4"/>
    </row>
    <row r="41" spans="1:3">
      <c r="A41" s="28" t="s">
        <v>108</v>
      </c>
      <c r="B41" s="4">
        <f>((20*0.2) + (10*0.8))*5280</f>
        <v>63360</v>
      </c>
      <c r="C41" t="s">
        <v>109</v>
      </c>
    </row>
    <row r="42" spans="1:3">
      <c r="B42" s="4">
        <v>5700</v>
      </c>
      <c r="C42" t="s">
        <v>110</v>
      </c>
    </row>
    <row r="43" spans="1:3">
      <c r="B43" s="4">
        <v>1944</v>
      </c>
      <c r="C43" t="s">
        <v>111</v>
      </c>
    </row>
    <row r="44" spans="1:3">
      <c r="B44" s="4">
        <f>0.89*5280</f>
        <v>4699.2</v>
      </c>
      <c r="C44" t="s">
        <v>112</v>
      </c>
    </row>
    <row r="45" spans="1:3">
      <c r="B45" s="4">
        <v>3100</v>
      </c>
      <c r="C45" t="s">
        <v>113</v>
      </c>
    </row>
    <row r="46" spans="1:3">
      <c r="B46" s="4"/>
    </row>
    <row r="47" spans="1:3">
      <c r="B47" s="4"/>
    </row>
    <row r="48" spans="1:3">
      <c r="B48" s="4">
        <f>SUM(B41:B47)</f>
        <v>78803.199999999997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F17" sqref="F17"/>
    </sheetView>
  </sheetViews>
  <sheetFormatPr baseColWidth="10" defaultColWidth="8.83203125" defaultRowHeight="14" x14ac:dyDescent="0"/>
  <cols>
    <col min="1" max="1" width="10.5" bestFit="1" customWidth="1"/>
    <col min="2" max="2" width="26" bestFit="1" customWidth="1"/>
  </cols>
  <sheetData>
    <row r="1" spans="1:2">
      <c r="A1" t="s">
        <v>55</v>
      </c>
      <c r="B1" t="s">
        <v>136</v>
      </c>
    </row>
    <row r="2" spans="1:2">
      <c r="A2" s="21">
        <v>42736</v>
      </c>
      <c r="B2" t="s">
        <v>161</v>
      </c>
    </row>
    <row r="3" spans="1:2">
      <c r="A3" s="21">
        <v>42751</v>
      </c>
      <c r="B3" t="s">
        <v>146</v>
      </c>
    </row>
    <row r="4" spans="1:2">
      <c r="A4" s="21">
        <v>42786</v>
      </c>
      <c r="B4" t="s">
        <v>147</v>
      </c>
    </row>
    <row r="5" spans="1:2">
      <c r="A5" s="21">
        <v>42842</v>
      </c>
      <c r="B5" t="s">
        <v>148</v>
      </c>
    </row>
    <row r="6" spans="1:2">
      <c r="A6" s="21">
        <v>42884</v>
      </c>
      <c r="B6" t="s">
        <v>151</v>
      </c>
    </row>
    <row r="7" spans="1:2">
      <c r="A7" s="21">
        <v>42920</v>
      </c>
      <c r="B7" t="s">
        <v>152</v>
      </c>
    </row>
    <row r="8" spans="1:2">
      <c r="A8" s="21">
        <v>42982</v>
      </c>
      <c r="B8" t="s">
        <v>153</v>
      </c>
    </row>
    <row r="9" spans="1:2">
      <c r="A9" s="21">
        <v>43017</v>
      </c>
      <c r="B9" t="s">
        <v>154</v>
      </c>
    </row>
    <row r="10" spans="1:2">
      <c r="A10" s="21">
        <v>43049</v>
      </c>
      <c r="B10" t="s">
        <v>155</v>
      </c>
    </row>
    <row r="11" spans="1:2">
      <c r="A11" s="21">
        <v>43062</v>
      </c>
      <c r="B11" t="s">
        <v>156</v>
      </c>
    </row>
    <row r="12" spans="1:2">
      <c r="A12" s="21">
        <v>43063</v>
      </c>
      <c r="B12" t="s">
        <v>157</v>
      </c>
    </row>
    <row r="13" spans="1:2">
      <c r="A13" s="21">
        <v>43094</v>
      </c>
      <c r="B13" t="s">
        <v>158</v>
      </c>
    </row>
    <row r="14" spans="1:2">
      <c r="A14" s="21">
        <v>43101</v>
      </c>
      <c r="B14" t="s">
        <v>159</v>
      </c>
    </row>
    <row r="15" spans="1:2">
      <c r="A15" s="21">
        <v>43115</v>
      </c>
      <c r="B15" t="s">
        <v>166</v>
      </c>
    </row>
    <row r="16" spans="1:2">
      <c r="A16" s="21">
        <v>43150</v>
      </c>
      <c r="B16" t="s">
        <v>165</v>
      </c>
    </row>
    <row r="17" spans="1:2">
      <c r="A17" s="21">
        <v>43206</v>
      </c>
      <c r="B17" t="s">
        <v>164</v>
      </c>
    </row>
    <row r="18" spans="1:2">
      <c r="A18" s="21">
        <v>43248</v>
      </c>
      <c r="B18" t="s">
        <v>163</v>
      </c>
    </row>
    <row r="19" spans="1:2">
      <c r="A19" s="21">
        <v>43285</v>
      </c>
      <c r="B19" t="s">
        <v>162</v>
      </c>
    </row>
    <row r="20" spans="1:2">
      <c r="A20" s="21">
        <v>43346</v>
      </c>
      <c r="B20" t="s">
        <v>160</v>
      </c>
    </row>
    <row r="21" spans="1:2">
      <c r="A21" s="21">
        <v>43381</v>
      </c>
    </row>
    <row r="22" spans="1:2">
      <c r="A22" s="21">
        <v>43446</v>
      </c>
    </row>
    <row r="23" spans="1:2">
      <c r="A23" s="21">
        <v>43426</v>
      </c>
    </row>
    <row r="24" spans="1:2">
      <c r="A24" s="21">
        <v>43427</v>
      </c>
    </row>
    <row r="25" spans="1:2">
      <c r="A25" s="21">
        <v>43459</v>
      </c>
    </row>
    <row r="26" spans="1:2">
      <c r="A26" s="21">
        <v>43466</v>
      </c>
    </row>
    <row r="27" spans="1:2">
      <c r="A27" s="21">
        <v>43486</v>
      </c>
    </row>
    <row r="28" spans="1:2">
      <c r="A28" s="21">
        <v>43514</v>
      </c>
    </row>
    <row r="29" spans="1:2">
      <c r="A29" s="21">
        <v>43570</v>
      </c>
    </row>
    <row r="30" spans="1:2">
      <c r="A30" s="21">
        <v>43612</v>
      </c>
    </row>
    <row r="31" spans="1:2">
      <c r="A31" s="21">
        <v>43650</v>
      </c>
    </row>
    <row r="32" spans="1:2">
      <c r="A32" s="21">
        <v>43710</v>
      </c>
    </row>
    <row r="33" spans="1:1">
      <c r="A33" s="21">
        <v>43752</v>
      </c>
    </row>
    <row r="34" spans="1:1">
      <c r="A34" s="21">
        <v>43780</v>
      </c>
    </row>
    <row r="35" spans="1:1">
      <c r="A35" s="21">
        <v>43797</v>
      </c>
    </row>
    <row r="36" spans="1:1">
      <c r="A36" s="21">
        <v>43798</v>
      </c>
    </row>
    <row r="37" spans="1:1">
      <c r="A37" s="21">
        <v>43824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Proposal</vt:lpstr>
      <vt:lpstr>Towns</vt:lpstr>
      <vt:lpstr>Construction Costs</vt:lpstr>
      <vt:lpstr>Variables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A. Bean</dc:creator>
  <cp:lastModifiedBy>David Dvore</cp:lastModifiedBy>
  <cp:lastPrinted>2017-06-20T19:56:19Z</cp:lastPrinted>
  <dcterms:created xsi:type="dcterms:W3CDTF">2017-02-01T12:36:03Z</dcterms:created>
  <dcterms:modified xsi:type="dcterms:W3CDTF">2017-06-29T15:36:00Z</dcterms:modified>
</cp:coreProperties>
</file>