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0" windowWidth="20745" windowHeight="11760" tabRatio="710" activeTab="3"/>
  </bookViews>
  <sheets>
    <sheet name="Summary" sheetId="1" r:id="rId1"/>
    <sheet name="Town Data" sheetId="2" r:id="rId2"/>
    <sheet name="Income Expense" sheetId="3" r:id="rId3"/>
    <sheet name="Depr Debt" sheetId="4" r:id="rId4"/>
    <sheet name="full set" sheetId="5" r:id="rId5"/>
    <sheet name="Debt Service" sheetId="6" r:id="rId6"/>
    <sheet name="Assessed Value" sheetId="7" r:id="rId7"/>
    <sheet name="Input Data" sheetId="8" r:id="rId8"/>
  </sheets>
  <definedNames>
    <definedName name="_xlnm.Print_Area" localSheetId="6">'Assessed Value'!$A$1:$H$51</definedName>
    <definedName name="_xlnm.Print_Area" localSheetId="3">'Depr Debt'!$A$1:$AL$63</definedName>
    <definedName name="_xlnm.Print_Area" localSheetId="2">'Income Expense'!$A$1:$W$63</definedName>
    <definedName name="_xlnm.Print_Area" localSheetId="0">'Summary'!$B$2:$H$22</definedName>
    <definedName name="_xlnm.Print_Area" localSheetId="1">'Town Data'!$A$8:$M$57</definedName>
  </definedNames>
  <calcPr fullCalcOnLoad="1"/>
</workbook>
</file>

<file path=xl/comments3.xml><?xml version="1.0" encoding="utf-8"?>
<comments xmlns="http://schemas.openxmlformats.org/spreadsheetml/2006/main">
  <authors>
    <author>Labrie, Bob</author>
  </authors>
  <commentList>
    <comment ref="S6" authorId="0">
      <text>
        <r>
          <rPr>
            <b/>
            <sz val="9"/>
            <rFont val="Tahoma"/>
            <family val="2"/>
          </rPr>
          <t>Labrie, Bob:</t>
        </r>
        <r>
          <rPr>
            <sz val="9"/>
            <rFont val="Tahoma"/>
            <family val="2"/>
          </rPr>
          <t xml:space="preserve">
Formula - do not change.  Updates should be made on the Summary tab.</t>
        </r>
      </text>
    </comment>
    <comment ref="S7" authorId="0">
      <text>
        <r>
          <rPr>
            <b/>
            <sz val="9"/>
            <rFont val="Tahoma"/>
            <family val="2"/>
          </rPr>
          <t>Labrie, Bob:</t>
        </r>
        <r>
          <rPr>
            <sz val="9"/>
            <rFont val="Tahoma"/>
            <family val="2"/>
          </rPr>
          <t xml:space="preserve">
Formula - do not change.  Updates should be made on the Summary tab.</t>
        </r>
      </text>
    </comment>
    <comment ref="S8" authorId="0">
      <text>
        <r>
          <rPr>
            <b/>
            <sz val="9"/>
            <rFont val="Tahoma"/>
            <family val="2"/>
          </rPr>
          <t>Labrie, Bob:</t>
        </r>
        <r>
          <rPr>
            <sz val="9"/>
            <rFont val="Tahoma"/>
            <family val="2"/>
          </rPr>
          <t xml:space="preserve">
Formula - do not change.  Updates should be made on the Summary tab.</t>
        </r>
      </text>
    </comment>
    <comment ref="P8" authorId="0">
      <text>
        <r>
          <rPr>
            <b/>
            <sz val="9"/>
            <rFont val="Tahoma"/>
            <family val="2"/>
          </rPr>
          <t>Labrie, Bob:</t>
        </r>
        <r>
          <rPr>
            <sz val="9"/>
            <rFont val="Tahoma"/>
            <family val="2"/>
          </rPr>
          <t xml:space="preserve">
Formula - do not change.  Updates should be made on the Summary tab.</t>
        </r>
      </text>
    </comment>
  </commentList>
</comments>
</file>

<file path=xl/comments4.xml><?xml version="1.0" encoding="utf-8"?>
<comments xmlns="http://schemas.openxmlformats.org/spreadsheetml/2006/main">
  <authors>
    <author>Labrie, Bob</author>
  </authors>
  <commentList>
    <comment ref="AB10" authorId="0">
      <text>
        <r>
          <rPr>
            <b/>
            <sz val="9"/>
            <rFont val="Tahoma"/>
            <family val="2"/>
          </rPr>
          <t>Labrie, Bob:</t>
        </r>
        <r>
          <rPr>
            <sz val="9"/>
            <rFont val="Tahoma"/>
            <family val="2"/>
          </rPr>
          <t xml:space="preserve">
Formula - do not change.  Updates should be made on the Summary tab.</t>
        </r>
      </text>
    </comment>
    <comment ref="AE10" authorId="0">
      <text>
        <r>
          <rPr>
            <b/>
            <sz val="9"/>
            <rFont val="Tahoma"/>
            <family val="2"/>
          </rPr>
          <t>Labrie, Bob:</t>
        </r>
        <r>
          <rPr>
            <sz val="9"/>
            <rFont val="Tahoma"/>
            <family val="2"/>
          </rPr>
          <t xml:space="preserve">
Formula - do not change.  Updates should be made on the Summary tab.</t>
        </r>
      </text>
    </comment>
    <comment ref="AE11" authorId="0">
      <text>
        <r>
          <rPr>
            <b/>
            <sz val="9"/>
            <rFont val="Tahoma"/>
            <family val="2"/>
          </rPr>
          <t>Labrie, Bob:</t>
        </r>
        <r>
          <rPr>
            <sz val="9"/>
            <rFont val="Tahoma"/>
            <family val="2"/>
          </rPr>
          <t xml:space="preserve">
Formula - do not change.  Updates should be made on the Summary tab.</t>
        </r>
      </text>
    </comment>
    <comment ref="AE12" authorId="0">
      <text>
        <r>
          <rPr>
            <b/>
            <sz val="9"/>
            <rFont val="Tahoma"/>
            <family val="2"/>
          </rPr>
          <t>Labrie, Bob:</t>
        </r>
        <r>
          <rPr>
            <sz val="9"/>
            <rFont val="Tahoma"/>
            <family val="2"/>
          </rPr>
          <t xml:space="preserve">
Formula - do not change.  Updates should be made on the Summary tab.</t>
        </r>
      </text>
    </comment>
  </commentList>
</comments>
</file>

<file path=xl/comments5.xml><?xml version="1.0" encoding="utf-8"?>
<comments xmlns="http://schemas.openxmlformats.org/spreadsheetml/2006/main">
  <authors>
    <author>Labrie, Bob</author>
  </authors>
  <commentList>
    <comment ref="S3" authorId="0">
      <text>
        <r>
          <rPr>
            <b/>
            <sz val="9"/>
            <rFont val="Tahoma"/>
            <family val="2"/>
          </rPr>
          <t>Labrie, Bob:</t>
        </r>
        <r>
          <rPr>
            <sz val="9"/>
            <rFont val="Tahoma"/>
            <family val="2"/>
          </rPr>
          <t xml:space="preserve">
Formula - do not change.  Updates should be made on the Summary tab.</t>
        </r>
      </text>
    </comment>
    <comment ref="S4" authorId="0">
      <text>
        <r>
          <rPr>
            <b/>
            <sz val="9"/>
            <rFont val="Tahoma"/>
            <family val="2"/>
          </rPr>
          <t>Labrie, Bob:</t>
        </r>
        <r>
          <rPr>
            <sz val="9"/>
            <rFont val="Tahoma"/>
            <family val="2"/>
          </rPr>
          <t xml:space="preserve">
Formula - do not change.  Updates should be made on the Summary tab.</t>
        </r>
      </text>
    </comment>
    <comment ref="V3" authorId="0">
      <text>
        <r>
          <rPr>
            <b/>
            <sz val="9"/>
            <rFont val="Tahoma"/>
            <family val="2"/>
          </rPr>
          <t>Labrie, Bob:</t>
        </r>
        <r>
          <rPr>
            <sz val="9"/>
            <rFont val="Tahoma"/>
            <family val="2"/>
          </rPr>
          <t xml:space="preserve">
Formula - do not change.  Updates should be made on the Summary tab.</t>
        </r>
      </text>
    </comment>
    <comment ref="S5" authorId="0">
      <text>
        <r>
          <rPr>
            <b/>
            <sz val="9"/>
            <rFont val="Tahoma"/>
            <family val="2"/>
          </rPr>
          <t>Labrie, Bob:</t>
        </r>
        <r>
          <rPr>
            <sz val="9"/>
            <rFont val="Tahoma"/>
            <family val="2"/>
          </rPr>
          <t xml:space="preserve">
Formula - do not change.  Updates should be made on the Summary tab.</t>
        </r>
      </text>
    </comment>
  </commentList>
</comments>
</file>

<file path=xl/sharedStrings.xml><?xml version="1.0" encoding="utf-8"?>
<sst xmlns="http://schemas.openxmlformats.org/spreadsheetml/2006/main" count="1165" uniqueCount="186">
  <si>
    <t>Town Name</t>
  </si>
  <si>
    <t>Ashfield</t>
  </si>
  <si>
    <t>Becket</t>
  </si>
  <si>
    <t>Blandford</t>
  </si>
  <si>
    <t>Charlemont</t>
  </si>
  <si>
    <t>Chesterfield</t>
  </si>
  <si>
    <t>Colrain</t>
  </si>
  <si>
    <t>Cummington</t>
  </si>
  <si>
    <t>Egremont</t>
  </si>
  <si>
    <t>Goshen</t>
  </si>
  <si>
    <t>Heath</t>
  </si>
  <si>
    <t>Leyden</t>
  </si>
  <si>
    <t>Monterey</t>
  </si>
  <si>
    <t>New Ashford</t>
  </si>
  <si>
    <t>New Marlborough</t>
  </si>
  <si>
    <t>New Salem</t>
  </si>
  <si>
    <t>Peru</t>
  </si>
  <si>
    <t>Plainfield</t>
  </si>
  <si>
    <t>Rowe</t>
  </si>
  <si>
    <t>Sandisfield</t>
  </si>
  <si>
    <t>Shutesbury</t>
  </si>
  <si>
    <t>Tolland</t>
  </si>
  <si>
    <t>Warwick</t>
  </si>
  <si>
    <t>Washington</t>
  </si>
  <si>
    <t>Wendell</t>
  </si>
  <si>
    <t>Windsor</t>
  </si>
  <si>
    <t>Worthington</t>
  </si>
  <si>
    <t>Town</t>
  </si>
  <si>
    <t>Measured Aerial Strand Footage</t>
  </si>
  <si>
    <t>Mapped Utility Poles</t>
  </si>
  <si>
    <t>2010 Census Housing Units</t>
  </si>
  <si>
    <t>2010 Census Seasonal recreational or occasional use housing units</t>
  </si>
  <si>
    <t>A</t>
  </si>
  <si>
    <t>B</t>
  </si>
  <si>
    <t>C</t>
  </si>
  <si>
    <t>Est. Total Network Cost</t>
  </si>
  <si>
    <t>Constr. Costs Funded by MBI</t>
  </si>
  <si>
    <t>Prof. Svcs. Costs Funded by MBI</t>
  </si>
  <si>
    <t>Projected Town Contribution</t>
  </si>
  <si>
    <t>Subtotal</t>
  </si>
  <si>
    <t>A+B</t>
  </si>
  <si>
    <t>A+B+C</t>
  </si>
  <si>
    <t>Make Ready Estimate included in budget</t>
  </si>
  <si>
    <t>Gen. Liability Insurance</t>
  </si>
  <si>
    <t>Pole bonding and license</t>
  </si>
  <si>
    <t>normalized full time housing units</t>
  </si>
  <si>
    <t>total WW costs with 10% contingency</t>
  </si>
  <si>
    <t>min take rate req to cover all cost</t>
  </si>
  <si>
    <t>% phone</t>
  </si>
  <si>
    <t>% tier1</t>
  </si>
  <si>
    <t>% tier2</t>
  </si>
  <si>
    <t>price 1</t>
  </si>
  <si>
    <t>price 2</t>
  </si>
  <si>
    <t xml:space="preserve">average gross revenue per mo, per sub using mix above </t>
  </si>
  <si>
    <t>Current 1 year Note Rate</t>
  </si>
  <si>
    <t>Annual interest rate increase</t>
  </si>
  <si>
    <t>Budgeted</t>
  </si>
  <si>
    <t>Borrowing</t>
  </si>
  <si>
    <t>fy16</t>
  </si>
  <si>
    <t>fy17</t>
  </si>
  <si>
    <t>fy18</t>
  </si>
  <si>
    <t>fy19</t>
  </si>
  <si>
    <t>fy20</t>
  </si>
  <si>
    <t>fy21</t>
  </si>
  <si>
    <t>fy22</t>
  </si>
  <si>
    <t>fy23</t>
  </si>
  <si>
    <t>fy24</t>
  </si>
  <si>
    <t>fy25</t>
  </si>
  <si>
    <t>fy26</t>
  </si>
  <si>
    <t>fy27</t>
  </si>
  <si>
    <t>fy28</t>
  </si>
  <si>
    <t>fy29</t>
  </si>
  <si>
    <t>fy30</t>
  </si>
  <si>
    <t>fy31</t>
  </si>
  <si>
    <t>fy32</t>
  </si>
  <si>
    <t>fy33</t>
  </si>
  <si>
    <t>fy34</t>
  </si>
  <si>
    <t>fy35</t>
  </si>
  <si>
    <t>fy36</t>
  </si>
  <si>
    <t>fy37</t>
  </si>
  <si>
    <t>Total Cost</t>
  </si>
  <si>
    <t>1 year rate</t>
  </si>
  <si>
    <t>Bond Anticipation notes for 2 years interest only payments then 18 years of one year notes interest + principal payments at prevailing interest rate</t>
  </si>
  <si>
    <t>Total Borrowing</t>
  </si>
  <si>
    <t>Interest</t>
  </si>
  <si>
    <t>Principal</t>
  </si>
  <si>
    <t>Debt Service</t>
  </si>
  <si>
    <t>Tot. Const.</t>
  </si>
  <si>
    <t>Dep. Reserve</t>
  </si>
  <si>
    <t>Otis</t>
  </si>
  <si>
    <t>Tyringham</t>
  </si>
  <si>
    <t>D</t>
  </si>
  <si>
    <t>FY22 Debt Service</t>
  </si>
  <si>
    <t xml:space="preserve">Average Monthly  tax increase needed to cover debt service and depreciation reserve </t>
  </si>
  <si>
    <t xml:space="preserve">Average Monthly  tax increase needed to cover debt service </t>
  </si>
  <si>
    <t>Avg Total Bill with Depr and Debt covered by Taxes</t>
  </si>
  <si>
    <t>Maintenance @ $39/premise, discounted 30% for region</t>
  </si>
  <si>
    <t>Take Rate</t>
  </si>
  <si>
    <t>Backhaul 2Gbps per town, 10Gbps per group</t>
  </si>
  <si>
    <t>WGE/Whip City</t>
  </si>
  <si>
    <t>ISP</t>
  </si>
  <si>
    <t>phone</t>
  </si>
  <si>
    <t xml:space="preserve"> phone</t>
  </si>
  <si>
    <t># of Cust</t>
  </si>
  <si>
    <t>ISP + Phone</t>
  </si>
  <si>
    <t>WW cost per mo, per sub @ take rate</t>
  </si>
  <si>
    <t>min cust req to cover all costs</t>
  </si>
  <si>
    <t>network ops</t>
  </si>
  <si>
    <t>Total Annual Net Revenue at take rate</t>
  </si>
  <si>
    <t xml:space="preserve">Monthly fee to cover depr reserve at  take rate </t>
  </si>
  <si>
    <t xml:space="preserve">Monthly fee to cover debt service at  take rate </t>
  </si>
  <si>
    <t xml:space="preserve">Average Monthly  tax increase needed to cover depreciation reserve </t>
  </si>
  <si>
    <t>Depreciation Reserve</t>
  </si>
  <si>
    <t>Average Total bill with Depr and Debt covered by fee  at take rate</t>
  </si>
  <si>
    <t>Average Total bill with Depr  covered by fee  at take rate</t>
  </si>
  <si>
    <t>Average Total bill with Debt covered by fee  at take rate</t>
  </si>
  <si>
    <t>Town Data</t>
  </si>
  <si>
    <t>Depreciation Reserves and Debt Service</t>
  </si>
  <si>
    <t>2017 Assessed Value</t>
  </si>
  <si>
    <t>2017 Residential Assessed Value</t>
  </si>
  <si>
    <t>2017 Average Residential Value</t>
  </si>
  <si>
    <t>Select Town --&gt;</t>
  </si>
  <si>
    <t>Category</t>
  </si>
  <si>
    <t>Tier 1 Take Rate</t>
  </si>
  <si>
    <t>Town Take Rate</t>
  </si>
  <si>
    <t>Tier 2 Take Rate</t>
  </si>
  <si>
    <t>Phone Take  Rate</t>
  </si>
  <si>
    <t>Phone Take Rate</t>
  </si>
  <si>
    <t>Estimated Total Network Cost</t>
  </si>
  <si>
    <t>Construction Costs Funded by MBI</t>
  </si>
  <si>
    <t>Professional Services Costs Funded by MBI</t>
  </si>
  <si>
    <t>General Liability Insurance</t>
  </si>
  <si>
    <t>&lt;-- Town Take Rate</t>
  </si>
  <si>
    <t>Tier 1 (25Mbps @ $59/mo) Take Rate --&gt;</t>
  </si>
  <si>
    <t>&lt;-- Resulting Tier 2 (1Gig @ $74/mo) Take Rate</t>
  </si>
  <si>
    <t>Phone ($19/mo) Take Rate --&gt;</t>
  </si>
  <si>
    <t>Required Depreciation Reserve Per Year</t>
  </si>
  <si>
    <t>Alford</t>
  </si>
  <si>
    <t>Florida</t>
  </si>
  <si>
    <t>Hawley</t>
  </si>
  <si>
    <t>Middlefield</t>
  </si>
  <si>
    <t>Monroe</t>
  </si>
  <si>
    <t>Mount Washington</t>
  </si>
  <si>
    <t>Petersham</t>
  </si>
  <si>
    <t>Princeton</t>
  </si>
  <si>
    <t>Savoy</t>
  </si>
  <si>
    <t xml:space="preserve">Average Monthly household  tax increase needed to cover debt service </t>
  </si>
  <si>
    <t xml:space="preserve">Average Monthly Household tax increase needed to cover debt service and depreciation reserve </t>
  </si>
  <si>
    <t>Annual Tax increase per $1,000</t>
  </si>
  <si>
    <t>Current Residential Tax Rate</t>
  </si>
  <si>
    <t>Product</t>
  </si>
  <si>
    <t>%</t>
  </si>
  <si>
    <t>Price</t>
  </si>
  <si>
    <t>Phone</t>
  </si>
  <si>
    <t>25Mbps</t>
  </si>
  <si>
    <t>1Gbps</t>
  </si>
  <si>
    <t>WiredWest Pricing</t>
  </si>
  <si>
    <t>#  Cust</t>
  </si>
  <si>
    <t># Cust</t>
  </si>
  <si>
    <t>Share of Annual Net Revenue at take rate available to return</t>
  </si>
  <si>
    <t xml:space="preserve"> Share of Annual Net Revenue at take rate available to return </t>
  </si>
  <si>
    <t xml:space="preserve">Average Gross Revenue Per Month, Per Sub Using Product Mix Above </t>
  </si>
  <si>
    <t>WW Cost per Month, Per Sub @ Take Rate</t>
  </si>
  <si>
    <t xml:space="preserve">Monthly Fee to Cover Depreciation Reserve at Take Rate </t>
  </si>
  <si>
    <t>Average Total Bill with Depreciation Covered by Fee at Take Rate</t>
  </si>
  <si>
    <t xml:space="preserve">Average Monthly Tax Increase Needed to Cover Depreciation Reserve </t>
  </si>
  <si>
    <t xml:space="preserve">Monthly Fee to Cover Debt Service at Take Rate </t>
  </si>
  <si>
    <t>Average Total Bill with Debt Covered by Fee at Take Rate</t>
  </si>
  <si>
    <t xml:space="preserve">Average Monthly Tax Increase Needed to Cover Debt Service </t>
  </si>
  <si>
    <t>Make Ready Estimate Included in Budget</t>
  </si>
  <si>
    <t>2010 Census - Seasonal, Recreational or Occasional Use Housing Units</t>
  </si>
  <si>
    <t>Normalized Full Time Housing Units</t>
  </si>
  <si>
    <t>Pole Bonding and License Cost</t>
  </si>
  <si>
    <t>Maintenance @ $39/Premise, Discounted 30% For Region</t>
  </si>
  <si>
    <t>Backhaul 2Gbps Per Town, 10Gbps Per Group</t>
  </si>
  <si>
    <t>Total WW Costs With 10% Contingency</t>
  </si>
  <si>
    <t>Service Provider Costs</t>
  </si>
  <si>
    <t>Regional Results</t>
  </si>
  <si>
    <t>Service Provider 1</t>
  </si>
  <si>
    <t>Service Provider 2</t>
  </si>
  <si>
    <t>2010 Census Seasonal, Recreational or Occasional Use Housing Units</t>
  </si>
  <si>
    <t>Income and Expenses</t>
  </si>
  <si>
    <t>Assessed Values</t>
  </si>
  <si>
    <t>Service Provider + WW Costs</t>
  </si>
  <si>
    <t>Depr Reserve Per Year for Electronics</t>
  </si>
  <si>
    <t>Total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</si>
</sst>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0.000"/>
    <numFmt numFmtId="173" formatCode="0.0"/>
    <numFmt numFmtId="174" formatCode="_(&quot;$&quot;* #,##0.000_);_(&quot;$&quot;* \(#,##0.000\);_(&quot;$&quot;* &quot;-&quot;???_);_(@_)"/>
    <numFmt numFmtId="175" formatCode="_(&quot;$&quot;* #,##0.0_);_(&quot;$&quot;* \(#,##0.0\);_(&quot;$&quot;* &quot;-&quot;?_);_(@_)"/>
  </numFmts>
  <fonts count="5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6"/>
      <color indexed="8"/>
      <name val="Calibri"/>
      <family val="2"/>
    </font>
    <font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sz val="8"/>
      <name val="Tahoma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2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42" fontId="2" fillId="0" borderId="0" xfId="44" applyNumberFormat="1" applyFont="1" applyAlignment="1">
      <alignment/>
    </xf>
    <xf numFmtId="3" fontId="2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3" fillId="0" borderId="0" xfId="0" applyFont="1" applyAlignment="1">
      <alignment/>
    </xf>
    <xf numFmtId="3" fontId="8" fillId="0" borderId="0" xfId="0" applyNumberFormat="1" applyFont="1" applyAlignment="1">
      <alignment/>
    </xf>
    <xf numFmtId="42" fontId="3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2" fontId="3" fillId="0" borderId="0" xfId="0" applyNumberFormat="1" applyFont="1" applyAlignment="1">
      <alignment horizontal="center" wrapText="1"/>
    </xf>
    <xf numFmtId="42" fontId="3" fillId="0" borderId="0" xfId="0" applyNumberFormat="1" applyFont="1" applyAlignment="1">
      <alignment horizontal="center" wrapText="1"/>
    </xf>
    <xf numFmtId="42" fontId="9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42" fontId="8" fillId="0" borderId="0" xfId="0" applyNumberFormat="1" applyFont="1" applyAlignment="1">
      <alignment/>
    </xf>
    <xf numFmtId="42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52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53" fillId="0" borderId="0" xfId="0" applyFont="1" applyAlignment="1">
      <alignment/>
    </xf>
    <xf numFmtId="0" fontId="53" fillId="6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53" fillId="6" borderId="0" xfId="0" applyFont="1" applyFill="1" applyAlignment="1">
      <alignment/>
    </xf>
    <xf numFmtId="10" fontId="53" fillId="6" borderId="0" xfId="0" applyNumberFormat="1" applyFont="1" applyFill="1" applyAlignment="1">
      <alignment/>
    </xf>
    <xf numFmtId="10" fontId="53" fillId="0" borderId="0" xfId="0" applyNumberFormat="1" applyFont="1" applyAlignment="1">
      <alignment/>
    </xf>
    <xf numFmtId="0" fontId="54" fillId="0" borderId="0" xfId="0" applyFont="1" applyAlignment="1">
      <alignment/>
    </xf>
    <xf numFmtId="42" fontId="53" fillId="0" borderId="0" xfId="0" applyNumberFormat="1" applyFont="1" applyAlignment="1">
      <alignment/>
    </xf>
    <xf numFmtId="42" fontId="54" fillId="0" borderId="0" xfId="0" applyNumberFormat="1" applyFont="1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 wrapText="1"/>
    </xf>
    <xf numFmtId="44" fontId="0" fillId="0" borderId="0" xfId="0" applyNumberFormat="1" applyAlignment="1">
      <alignment/>
    </xf>
    <xf numFmtId="9" fontId="2" fillId="33" borderId="0" xfId="0" applyNumberFormat="1" applyFont="1" applyFill="1" applyAlignment="1">
      <alignment/>
    </xf>
    <xf numFmtId="42" fontId="2" fillId="33" borderId="0" xfId="0" applyNumberFormat="1" applyFont="1" applyFill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42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42" fontId="2" fillId="0" borderId="0" xfId="0" applyNumberFormat="1" applyFont="1" applyAlignment="1">
      <alignment wrapText="1"/>
    </xf>
    <xf numFmtId="10" fontId="0" fillId="10" borderId="0" xfId="0" applyNumberFormat="1" applyFill="1" applyAlignment="1">
      <alignment wrapText="1"/>
    </xf>
    <xf numFmtId="9" fontId="0" fillId="10" borderId="0" xfId="0" applyNumberFormat="1" applyFill="1" applyAlignment="1">
      <alignment/>
    </xf>
    <xf numFmtId="41" fontId="2" fillId="0" borderId="0" xfId="0" applyNumberFormat="1" applyFont="1" applyAlignment="1">
      <alignment/>
    </xf>
    <xf numFmtId="41" fontId="0" fillId="0" borderId="0" xfId="0" applyNumberFormat="1" applyAlignment="1">
      <alignment/>
    </xf>
    <xf numFmtId="42" fontId="2" fillId="34" borderId="0" xfId="0" applyNumberFormat="1" applyFont="1" applyFill="1" applyAlignment="1">
      <alignment/>
    </xf>
    <xf numFmtId="10" fontId="0" fillId="35" borderId="0" xfId="0" applyNumberFormat="1" applyFill="1" applyAlignment="1">
      <alignment wrapText="1"/>
    </xf>
    <xf numFmtId="42" fontId="2" fillId="35" borderId="0" xfId="0" applyNumberFormat="1" applyFont="1" applyFill="1" applyAlignment="1">
      <alignment/>
    </xf>
    <xf numFmtId="42" fontId="2" fillId="7" borderId="0" xfId="0" applyNumberFormat="1" applyFont="1" applyFill="1" applyAlignment="1">
      <alignment/>
    </xf>
    <xf numFmtId="42" fontId="0" fillId="0" borderId="0" xfId="0" applyNumberFormat="1" applyAlignment="1">
      <alignment/>
    </xf>
    <xf numFmtId="10" fontId="0" fillId="2" borderId="0" xfId="0" applyNumberFormat="1" applyFill="1" applyAlignment="1">
      <alignment wrapText="1"/>
    </xf>
    <xf numFmtId="10" fontId="0" fillId="3" borderId="0" xfId="0" applyNumberFormat="1" applyFill="1" applyAlignment="1">
      <alignment wrapText="1"/>
    </xf>
    <xf numFmtId="37" fontId="2" fillId="3" borderId="0" xfId="0" applyNumberFormat="1" applyFont="1" applyFill="1" applyAlignment="1">
      <alignment/>
    </xf>
    <xf numFmtId="44" fontId="2" fillId="3" borderId="0" xfId="0" applyNumberFormat="1" applyFont="1" applyFill="1" applyAlignment="1">
      <alignment/>
    </xf>
    <xf numFmtId="9" fontId="2" fillId="0" borderId="0" xfId="0" applyNumberFormat="1" applyFont="1" applyFill="1" applyAlignment="1">
      <alignment/>
    </xf>
    <xf numFmtId="42" fontId="2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44" fontId="2" fillId="0" borderId="0" xfId="0" applyNumberFormat="1" applyFont="1" applyFill="1" applyAlignment="1">
      <alignment/>
    </xf>
    <xf numFmtId="9" fontId="0" fillId="0" borderId="0" xfId="0" applyNumberFormat="1" applyFill="1" applyAlignment="1">
      <alignment/>
    </xf>
    <xf numFmtId="42" fontId="2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 horizontal="center" wrapText="1"/>
    </xf>
    <xf numFmtId="10" fontId="3" fillId="2" borderId="0" xfId="0" applyNumberFormat="1" applyFont="1" applyFill="1" applyAlignment="1">
      <alignment horizontal="center" wrapText="1"/>
    </xf>
    <xf numFmtId="3" fontId="2" fillId="2" borderId="0" xfId="0" applyNumberFormat="1" applyFont="1" applyFill="1" applyAlignment="1">
      <alignment/>
    </xf>
    <xf numFmtId="10" fontId="2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10" fontId="3" fillId="2" borderId="0" xfId="0" applyNumberFormat="1" applyFont="1" applyFill="1" applyAlignment="1">
      <alignment/>
    </xf>
    <xf numFmtId="3" fontId="3" fillId="3" borderId="0" xfId="0" applyNumberFormat="1" applyFont="1" applyFill="1" applyAlignment="1">
      <alignment horizontal="center" wrapText="1"/>
    </xf>
    <xf numFmtId="10" fontId="3" fillId="3" borderId="0" xfId="0" applyNumberFormat="1" applyFont="1" applyFill="1" applyAlignment="1">
      <alignment horizontal="center" wrapText="1"/>
    </xf>
    <xf numFmtId="1" fontId="2" fillId="3" borderId="0" xfId="0" applyNumberFormat="1" applyFont="1" applyFill="1" applyAlignment="1">
      <alignment/>
    </xf>
    <xf numFmtId="10" fontId="2" fillId="3" borderId="0" xfId="0" applyNumberFormat="1" applyFont="1" applyFill="1" applyAlignment="1">
      <alignment/>
    </xf>
    <xf numFmtId="41" fontId="3" fillId="2" borderId="0" xfId="0" applyNumberFormat="1" applyFont="1" applyFill="1" applyAlignment="1">
      <alignment horizontal="center" wrapText="1"/>
    </xf>
    <xf numFmtId="41" fontId="2" fillId="2" borderId="0" xfId="0" applyNumberFormat="1" applyFont="1" applyFill="1" applyAlignment="1">
      <alignment/>
    </xf>
    <xf numFmtId="41" fontId="3" fillId="2" borderId="0" xfId="0" applyNumberFormat="1" applyFont="1" applyFill="1" applyAlignment="1">
      <alignment/>
    </xf>
    <xf numFmtId="42" fontId="0" fillId="0" borderId="0" xfId="0" applyNumberFormat="1" applyFill="1" applyAlignment="1">
      <alignment wrapText="1"/>
    </xf>
    <xf numFmtId="44" fontId="2" fillId="0" borderId="0" xfId="0" applyNumberFormat="1" applyFont="1" applyAlignment="1">
      <alignment/>
    </xf>
    <xf numFmtId="42" fontId="2" fillId="3" borderId="0" xfId="0" applyNumberFormat="1" applyFont="1" applyFill="1" applyAlignment="1">
      <alignment/>
    </xf>
    <xf numFmtId="42" fontId="3" fillId="3" borderId="0" xfId="0" applyNumberFormat="1" applyFont="1" applyFill="1" applyAlignment="1">
      <alignment horizontal="center" wrapText="1"/>
    </xf>
    <xf numFmtId="10" fontId="0" fillId="0" borderId="0" xfId="0" applyNumberFormat="1" applyFill="1" applyAlignment="1">
      <alignment wrapText="1"/>
    </xf>
    <xf numFmtId="44" fontId="0" fillId="0" borderId="0" xfId="0" applyNumberFormat="1" applyFill="1" applyAlignment="1">
      <alignment/>
    </xf>
    <xf numFmtId="44" fontId="3" fillId="0" borderId="0" xfId="0" applyNumberFormat="1" applyFont="1" applyAlignment="1">
      <alignment horizontal="center" wrapText="1"/>
    </xf>
    <xf numFmtId="42" fontId="0" fillId="0" borderId="0" xfId="0" applyNumberFormat="1" applyFill="1" applyAlignment="1">
      <alignment horizontal="center"/>
    </xf>
    <xf numFmtId="42" fontId="3" fillId="0" borderId="0" xfId="0" applyNumberFormat="1" applyFont="1" applyFill="1" applyAlignment="1">
      <alignment horizontal="center" wrapText="1"/>
    </xf>
    <xf numFmtId="9" fontId="3" fillId="0" borderId="0" xfId="0" applyNumberFormat="1" applyFont="1" applyFill="1" applyAlignment="1">
      <alignment/>
    </xf>
    <xf numFmtId="42" fontId="3" fillId="0" borderId="0" xfId="0" applyNumberFormat="1" applyFont="1" applyFill="1" applyAlignment="1">
      <alignment/>
    </xf>
    <xf numFmtId="42" fontId="3" fillId="35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44" fontId="3" fillId="0" borderId="0" xfId="0" applyNumberFormat="1" applyFont="1" applyFill="1" applyAlignment="1">
      <alignment horizontal="center"/>
    </xf>
    <xf numFmtId="41" fontId="3" fillId="0" borderId="0" xfId="0" applyNumberFormat="1" applyFont="1" applyAlignment="1">
      <alignment horizontal="center"/>
    </xf>
    <xf numFmtId="42" fontId="3" fillId="34" borderId="0" xfId="0" applyNumberFormat="1" applyFont="1" applyFill="1" applyAlignment="1">
      <alignment horizontal="center" wrapText="1"/>
    </xf>
    <xf numFmtId="0" fontId="3" fillId="34" borderId="0" xfId="0" applyFont="1" applyFill="1" applyAlignment="1">
      <alignment horizontal="center" wrapText="1"/>
    </xf>
    <xf numFmtId="44" fontId="3" fillId="34" borderId="0" xfId="0" applyNumberFormat="1" applyFont="1" applyFill="1" applyAlignment="1">
      <alignment horizontal="center" wrapText="1"/>
    </xf>
    <xf numFmtId="42" fontId="9" fillId="34" borderId="0" xfId="0" applyNumberFormat="1" applyFont="1" applyFill="1" applyAlignment="1">
      <alignment/>
    </xf>
    <xf numFmtId="44" fontId="2" fillId="34" borderId="0" xfId="0" applyNumberFormat="1" applyFont="1" applyFill="1" applyAlignment="1">
      <alignment/>
    </xf>
    <xf numFmtId="42" fontId="8" fillId="34" borderId="0" xfId="0" applyNumberFormat="1" applyFont="1" applyFill="1" applyAlignment="1">
      <alignment/>
    </xf>
    <xf numFmtId="42" fontId="3" fillId="34" borderId="0" xfId="0" applyNumberFormat="1" applyFont="1" applyFill="1" applyAlignment="1">
      <alignment/>
    </xf>
    <xf numFmtId="0" fontId="3" fillId="5" borderId="0" xfId="0" applyFont="1" applyFill="1" applyAlignment="1">
      <alignment horizontal="center" wrapText="1"/>
    </xf>
    <xf numFmtId="42" fontId="3" fillId="5" borderId="0" xfId="0" applyNumberFormat="1" applyFont="1" applyFill="1" applyAlignment="1">
      <alignment horizontal="center" wrapText="1"/>
    </xf>
    <xf numFmtId="42" fontId="2" fillId="5" borderId="0" xfId="0" applyNumberFormat="1" applyFont="1" applyFill="1" applyAlignment="1">
      <alignment/>
    </xf>
    <xf numFmtId="42" fontId="3" fillId="5" borderId="0" xfId="0" applyNumberFormat="1" applyFont="1" applyFill="1" applyAlignment="1">
      <alignment/>
    </xf>
    <xf numFmtId="42" fontId="3" fillId="5" borderId="0" xfId="0" applyNumberFormat="1" applyFont="1" applyFill="1" applyAlignment="1">
      <alignment/>
    </xf>
    <xf numFmtId="41" fontId="3" fillId="7" borderId="0" xfId="0" applyNumberFormat="1" applyFont="1" applyFill="1" applyAlignment="1">
      <alignment/>
    </xf>
    <xf numFmtId="0" fontId="1" fillId="7" borderId="0" xfId="0" applyFont="1" applyFill="1" applyAlignment="1">
      <alignment/>
    </xf>
    <xf numFmtId="42" fontId="3" fillId="7" borderId="0" xfId="0" applyNumberFormat="1" applyFont="1" applyFill="1" applyAlignment="1">
      <alignment horizontal="center" wrapText="1"/>
    </xf>
    <xf numFmtId="0" fontId="3" fillId="7" borderId="0" xfId="0" applyFont="1" applyFill="1" applyAlignment="1">
      <alignment horizontal="center" wrapText="1"/>
    </xf>
    <xf numFmtId="42" fontId="3" fillId="7" borderId="0" xfId="0" applyNumberFormat="1" applyFont="1" applyFill="1" applyAlignment="1">
      <alignment/>
    </xf>
    <xf numFmtId="1" fontId="3" fillId="3" borderId="0" xfId="0" applyNumberFormat="1" applyFont="1" applyFill="1" applyAlignment="1">
      <alignment/>
    </xf>
    <xf numFmtId="10" fontId="3" fillId="3" borderId="0" xfId="0" applyNumberFormat="1" applyFont="1" applyFill="1" applyAlignment="1">
      <alignment/>
    </xf>
    <xf numFmtId="42" fontId="3" fillId="3" borderId="0" xfId="0" applyNumberFormat="1" applyFont="1" applyFill="1" applyAlignment="1">
      <alignment/>
    </xf>
    <xf numFmtId="44" fontId="3" fillId="34" borderId="0" xfId="0" applyNumberFormat="1" applyFont="1" applyFill="1" applyAlignment="1">
      <alignment/>
    </xf>
    <xf numFmtId="44" fontId="3" fillId="0" borderId="0" xfId="0" applyNumberFormat="1" applyFont="1" applyAlignment="1">
      <alignment/>
    </xf>
    <xf numFmtId="42" fontId="53" fillId="0" borderId="0" xfId="0" applyNumberFormat="1" applyFont="1" applyBorder="1" applyAlignment="1">
      <alignment/>
    </xf>
    <xf numFmtId="42" fontId="53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right"/>
    </xf>
    <xf numFmtId="9" fontId="0" fillId="0" borderId="0" xfId="59" applyFont="1" applyAlignment="1">
      <alignment horizontal="center"/>
    </xf>
    <xf numFmtId="0" fontId="0" fillId="33" borderId="0" xfId="0" applyFill="1" applyAlignment="1">
      <alignment vertical="center" wrapText="1"/>
    </xf>
    <xf numFmtId="42" fontId="0" fillId="33" borderId="0" xfId="0" applyNumberFormat="1" applyFill="1" applyAlignment="1">
      <alignment vertical="center" wrapText="1"/>
    </xf>
    <xf numFmtId="3" fontId="0" fillId="33" borderId="0" xfId="0" applyNumberFormat="1" applyFill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 wrapText="1"/>
    </xf>
    <xf numFmtId="3" fontId="8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67" fontId="0" fillId="0" borderId="0" xfId="44" applyNumberFormat="1" applyFont="1" applyFill="1" applyAlignment="1">
      <alignment/>
    </xf>
    <xf numFmtId="169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167" fontId="0" fillId="0" borderId="12" xfId="44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7" fontId="0" fillId="0" borderId="13" xfId="44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69" fontId="0" fillId="0" borderId="12" xfId="42" applyNumberFormat="1" applyFont="1" applyFill="1" applyBorder="1" applyAlignment="1">
      <alignment/>
    </xf>
    <xf numFmtId="42" fontId="3" fillId="34" borderId="0" xfId="0" applyNumberFormat="1" applyFont="1" applyFill="1" applyAlignment="1">
      <alignment horizontal="center" wrapText="1"/>
    </xf>
    <xf numFmtId="42" fontId="3" fillId="34" borderId="0" xfId="0" applyNumberFormat="1" applyFont="1" applyFill="1" applyAlignment="1">
      <alignment horizontal="center" wrapText="1"/>
    </xf>
    <xf numFmtId="42" fontId="2" fillId="0" borderId="0" xfId="44" applyNumberFormat="1" applyFont="1" applyAlignment="1">
      <alignment/>
    </xf>
    <xf numFmtId="3" fontId="7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4" fontId="0" fillId="0" borderId="0" xfId="0" applyNumberFormat="1" applyAlignment="1">
      <alignment wrapText="1"/>
    </xf>
    <xf numFmtId="174" fontId="0" fillId="0" borderId="0" xfId="0" applyNumberFormat="1" applyAlignment="1">
      <alignment/>
    </xf>
    <xf numFmtId="17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 wrapText="1"/>
    </xf>
    <xf numFmtId="174" fontId="2" fillId="5" borderId="0" xfId="0" applyNumberFormat="1" applyFont="1" applyFill="1" applyAlignment="1">
      <alignment/>
    </xf>
    <xf numFmtId="174" fontId="3" fillId="5" borderId="0" xfId="0" applyNumberFormat="1" applyFont="1" applyFill="1" applyAlignment="1">
      <alignment/>
    </xf>
    <xf numFmtId="37" fontId="2" fillId="2" borderId="0" xfId="0" applyNumberFormat="1" applyFont="1" applyFill="1" applyAlignment="1">
      <alignment/>
    </xf>
    <xf numFmtId="44" fontId="2" fillId="2" borderId="0" xfId="0" applyNumberFormat="1" applyFont="1" applyFill="1" applyAlignment="1">
      <alignment/>
    </xf>
    <xf numFmtId="0" fontId="0" fillId="0" borderId="0" xfId="0" applyFill="1" applyAlignment="1">
      <alignment vertical="center" wrapText="1"/>
    </xf>
    <xf numFmtId="42" fontId="0" fillId="0" borderId="0" xfId="0" applyNumberFormat="1" applyFill="1" applyAlignment="1">
      <alignment vertical="center" wrapText="1"/>
    </xf>
    <xf numFmtId="9" fontId="2" fillId="1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2" fontId="1" fillId="0" borderId="0" xfId="0" applyNumberFormat="1" applyFont="1" applyFill="1" applyAlignment="1">
      <alignment horizontal="center"/>
    </xf>
    <xf numFmtId="42" fontId="1" fillId="0" borderId="0" xfId="0" applyNumberFormat="1" applyFont="1" applyAlignment="1">
      <alignment horizontal="center"/>
    </xf>
    <xf numFmtId="0" fontId="3" fillId="33" borderId="0" xfId="0" applyFont="1" applyFill="1" applyAlignment="1">
      <alignment horizontal="center" wrapText="1"/>
    </xf>
    <xf numFmtId="10" fontId="1" fillId="0" borderId="0" xfId="0" applyNumberFormat="1" applyFont="1" applyFill="1" applyAlignment="1">
      <alignment horizontal="center" wrapText="1"/>
    </xf>
    <xf numFmtId="10" fontId="3" fillId="10" borderId="0" xfId="0" applyNumberFormat="1" applyFont="1" applyFill="1" applyAlignment="1">
      <alignment horizontal="center" wrapText="1"/>
    </xf>
    <xf numFmtId="42" fontId="3" fillId="2" borderId="0" xfId="0" applyNumberFormat="1" applyFont="1" applyFill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42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42" fontId="2" fillId="0" borderId="0" xfId="0" applyNumberFormat="1" applyFont="1" applyAlignment="1">
      <alignment vertical="center"/>
    </xf>
    <xf numFmtId="42" fontId="2" fillId="0" borderId="0" xfId="0" applyNumberFormat="1" applyFont="1" applyFill="1" applyAlignment="1">
      <alignment vertical="center"/>
    </xf>
    <xf numFmtId="44" fontId="0" fillId="0" borderId="0" xfId="0" applyNumberFormat="1" applyAlignment="1">
      <alignment vertical="center"/>
    </xf>
    <xf numFmtId="17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41" fontId="55" fillId="36" borderId="0" xfId="0" applyNumberFormat="1" applyFont="1" applyFill="1" applyAlignment="1">
      <alignment horizontal="center" wrapText="1"/>
    </xf>
    <xf numFmtId="42" fontId="3" fillId="34" borderId="0" xfId="0" applyNumberFormat="1" applyFont="1" applyFill="1" applyAlignment="1">
      <alignment horizontal="center" wrapText="1"/>
    </xf>
    <xf numFmtId="9" fontId="0" fillId="0" borderId="15" xfId="59" applyFont="1" applyFill="1" applyBorder="1" applyAlignment="1">
      <alignment horizontal="center" vertical="center"/>
    </xf>
    <xf numFmtId="42" fontId="2" fillId="0" borderId="14" xfId="44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2" fontId="9" fillId="0" borderId="14" xfId="0" applyNumberFormat="1" applyFont="1" applyBorder="1" applyAlignment="1">
      <alignment/>
    </xf>
    <xf numFmtId="42" fontId="2" fillId="0" borderId="14" xfId="0" applyNumberFormat="1" applyFont="1" applyBorder="1" applyAlignment="1">
      <alignment/>
    </xf>
    <xf numFmtId="3" fontId="2" fillId="2" borderId="14" xfId="0" applyNumberFormat="1" applyFont="1" applyFill="1" applyBorder="1" applyAlignment="1">
      <alignment/>
    </xf>
    <xf numFmtId="10" fontId="2" fillId="2" borderId="14" xfId="0" applyNumberFormat="1" applyFont="1" applyFill="1" applyBorder="1" applyAlignment="1">
      <alignment/>
    </xf>
    <xf numFmtId="41" fontId="2" fillId="2" borderId="14" xfId="0" applyNumberFormat="1" applyFont="1" applyFill="1" applyBorder="1" applyAlignment="1">
      <alignment/>
    </xf>
    <xf numFmtId="10" fontId="2" fillId="3" borderId="14" xfId="0" applyNumberFormat="1" applyFont="1" applyFill="1" applyBorder="1" applyAlignment="1">
      <alignment/>
    </xf>
    <xf numFmtId="42" fontId="2" fillId="3" borderId="14" xfId="0" applyNumberFormat="1" applyFont="1" applyFill="1" applyBorder="1" applyAlignment="1">
      <alignment/>
    </xf>
    <xf numFmtId="42" fontId="2" fillId="34" borderId="14" xfId="0" applyNumberFormat="1" applyFont="1" applyFill="1" applyBorder="1" applyAlignment="1">
      <alignment/>
    </xf>
    <xf numFmtId="44" fontId="2" fillId="34" borderId="14" xfId="0" applyNumberFormat="1" applyFont="1" applyFill="1" applyBorder="1" applyAlignment="1">
      <alignment/>
    </xf>
    <xf numFmtId="42" fontId="2" fillId="5" borderId="14" xfId="0" applyNumberFormat="1" applyFont="1" applyFill="1" applyBorder="1" applyAlignment="1">
      <alignment/>
    </xf>
    <xf numFmtId="174" fontId="2" fillId="5" borderId="14" xfId="0" applyNumberFormat="1" applyFont="1" applyFill="1" applyBorder="1" applyAlignment="1">
      <alignment/>
    </xf>
    <xf numFmtId="42" fontId="2" fillId="7" borderId="14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9" fillId="0" borderId="14" xfId="0" applyNumberFormat="1" applyFont="1" applyBorder="1" applyAlignment="1">
      <alignment/>
    </xf>
    <xf numFmtId="0" fontId="9" fillId="0" borderId="0" xfId="56" applyFont="1" applyBorder="1">
      <alignment/>
      <protection/>
    </xf>
    <xf numFmtId="3" fontId="8" fillId="0" borderId="0" xfId="56" applyNumberFormat="1" applyFont="1" applyBorder="1" applyAlignment="1">
      <alignment horizontal="center" wrapText="1"/>
      <protection/>
    </xf>
    <xf numFmtId="44" fontId="3" fillId="0" borderId="0" xfId="0" applyNumberFormat="1" applyFont="1" applyAlignment="1">
      <alignment wrapText="1"/>
    </xf>
    <xf numFmtId="0" fontId="9" fillId="0" borderId="0" xfId="56" applyFont="1" applyFill="1" applyBorder="1">
      <alignment/>
      <protection/>
    </xf>
    <xf numFmtId="42" fontId="9" fillId="0" borderId="0" xfId="46" applyNumberFormat="1" applyFont="1" applyFill="1" applyBorder="1" applyAlignment="1">
      <alignment/>
    </xf>
    <xf numFmtId="44" fontId="9" fillId="0" borderId="0" xfId="46" applyNumberFormat="1" applyFont="1" applyFill="1" applyBorder="1" applyAlignment="1">
      <alignment/>
    </xf>
    <xf numFmtId="42" fontId="9" fillId="0" borderId="14" xfId="46" applyNumberFormat="1" applyFont="1" applyFill="1" applyBorder="1" applyAlignment="1">
      <alignment/>
    </xf>
    <xf numFmtId="0" fontId="9" fillId="0" borderId="0" xfId="56" applyFont="1" applyFill="1">
      <alignment/>
      <protection/>
    </xf>
    <xf numFmtId="3" fontId="9" fillId="0" borderId="0" xfId="56" applyNumberFormat="1" applyFont="1" applyFill="1">
      <alignment/>
      <protection/>
    </xf>
    <xf numFmtId="42" fontId="9" fillId="0" borderId="0" xfId="46" applyNumberFormat="1" applyFont="1" applyFill="1" applyAlignment="1">
      <alignment/>
    </xf>
    <xf numFmtId="44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42" fontId="9" fillId="0" borderId="0" xfId="0" applyNumberFormat="1" applyFont="1" applyAlignment="1">
      <alignment/>
    </xf>
    <xf numFmtId="42" fontId="9" fillId="34" borderId="0" xfId="0" applyNumberFormat="1" applyFont="1" applyFill="1" applyAlignment="1">
      <alignment/>
    </xf>
    <xf numFmtId="42" fontId="2" fillId="0" borderId="14" xfId="44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42" fontId="9" fillId="0" borderId="14" xfId="0" applyNumberFormat="1" applyFont="1" applyBorder="1" applyAlignment="1">
      <alignment/>
    </xf>
    <xf numFmtId="42" fontId="9" fillId="34" borderId="14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8" fillId="0" borderId="0" xfId="0" applyNumberFormat="1" applyFont="1" applyAlignment="1">
      <alignment/>
    </xf>
    <xf numFmtId="42" fontId="8" fillId="0" borderId="0" xfId="0" applyNumberFormat="1" applyFont="1" applyAlignment="1">
      <alignment/>
    </xf>
    <xf numFmtId="42" fontId="8" fillId="34" borderId="0" xfId="0" applyNumberFormat="1" applyFont="1" applyFill="1" applyAlignment="1">
      <alignment/>
    </xf>
    <xf numFmtId="42" fontId="53" fillId="0" borderId="0" xfId="0" applyNumberFormat="1" applyFont="1" applyBorder="1" applyAlignment="1">
      <alignment/>
    </xf>
    <xf numFmtId="42" fontId="53" fillId="0" borderId="10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42" fontId="3" fillId="0" borderId="0" xfId="0" applyNumberFormat="1" applyFont="1" applyFill="1" applyAlignment="1">
      <alignment horizontal="center"/>
    </xf>
    <xf numFmtId="42" fontId="3" fillId="0" borderId="0" xfId="0" applyNumberFormat="1" applyFont="1" applyAlignment="1">
      <alignment horizontal="center"/>
    </xf>
    <xf numFmtId="42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Fill="1" applyAlignment="1">
      <alignment vertical="center" wrapText="1"/>
    </xf>
    <xf numFmtId="42" fontId="2" fillId="0" borderId="0" xfId="0" applyNumberFormat="1" applyFont="1" applyFill="1" applyAlignment="1">
      <alignment vertical="center" wrapText="1"/>
    </xf>
    <xf numFmtId="10" fontId="3" fillId="0" borderId="0" xfId="0" applyNumberFormat="1" applyFont="1" applyFill="1" applyAlignment="1">
      <alignment horizontal="center" wrapText="1"/>
    </xf>
    <xf numFmtId="10" fontId="2" fillId="0" borderId="0" xfId="0" applyNumberFormat="1" applyFont="1" applyAlignment="1">
      <alignment wrapText="1"/>
    </xf>
    <xf numFmtId="174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0" fontId="3" fillId="7" borderId="0" xfId="0" applyFont="1" applyFill="1" applyAlignment="1">
      <alignment/>
    </xf>
    <xf numFmtId="167" fontId="0" fillId="0" borderId="16" xfId="44" applyNumberFormat="1" applyFont="1" applyFill="1" applyBorder="1" applyAlignment="1">
      <alignment/>
    </xf>
    <xf numFmtId="42" fontId="3" fillId="0" borderId="12" xfId="0" applyNumberFormat="1" applyFont="1" applyFill="1" applyBorder="1" applyAlignment="1">
      <alignment horizontal="left" wrapText="1"/>
    </xf>
    <xf numFmtId="167" fontId="0" fillId="0" borderId="17" xfId="44" applyNumberFormat="1" applyFont="1" applyFill="1" applyBorder="1" applyAlignment="1">
      <alignment/>
    </xf>
    <xf numFmtId="42" fontId="3" fillId="0" borderId="13" xfId="0" applyNumberFormat="1" applyFont="1" applyFill="1" applyBorder="1" applyAlignment="1">
      <alignment horizontal="left" wrapText="1"/>
    </xf>
    <xf numFmtId="44" fontId="0" fillId="0" borderId="18" xfId="44" applyNumberFormat="1" applyFont="1" applyFill="1" applyBorder="1" applyAlignment="1">
      <alignment/>
    </xf>
    <xf numFmtId="42" fontId="3" fillId="0" borderId="19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44" fontId="3" fillId="0" borderId="12" xfId="0" applyNumberFormat="1" applyFont="1" applyFill="1" applyBorder="1" applyAlignment="1">
      <alignment horizontal="left" wrapText="1"/>
    </xf>
    <xf numFmtId="44" fontId="3" fillId="0" borderId="13" xfId="0" applyNumberFormat="1" applyFont="1" applyFill="1" applyBorder="1" applyAlignment="1">
      <alignment horizontal="left" wrapText="1"/>
    </xf>
    <xf numFmtId="44" fontId="3" fillId="0" borderId="19" xfId="0" applyNumberFormat="1" applyFont="1" applyFill="1" applyBorder="1" applyAlignment="1">
      <alignment horizontal="left" wrapText="1"/>
    </xf>
    <xf numFmtId="169" fontId="0" fillId="0" borderId="16" xfId="42" applyNumberFormat="1" applyFont="1" applyFill="1" applyBorder="1" applyAlignment="1">
      <alignment/>
    </xf>
    <xf numFmtId="44" fontId="8" fillId="0" borderId="12" xfId="56" applyNumberFormat="1" applyFont="1" applyFill="1" applyBorder="1" applyAlignment="1">
      <alignment horizontal="left" wrapText="1"/>
      <protection/>
    </xf>
    <xf numFmtId="167" fontId="0" fillId="0" borderId="17" xfId="42" applyNumberFormat="1" applyFont="1" applyFill="1" applyBorder="1" applyAlignment="1">
      <alignment/>
    </xf>
    <xf numFmtId="44" fontId="8" fillId="0" borderId="13" xfId="56" applyNumberFormat="1" applyFont="1" applyFill="1" applyBorder="1" applyAlignment="1">
      <alignment horizontal="left" wrapText="1"/>
      <protection/>
    </xf>
    <xf numFmtId="167" fontId="0" fillId="0" borderId="18" xfId="42" applyNumberFormat="1" applyFont="1" applyFill="1" applyBorder="1" applyAlignment="1">
      <alignment/>
    </xf>
    <xf numFmtId="44" fontId="8" fillId="0" borderId="19" xfId="56" applyNumberFormat="1" applyFont="1" applyFill="1" applyBorder="1" applyAlignment="1">
      <alignment horizontal="left" wrapText="1"/>
      <protection/>
    </xf>
    <xf numFmtId="167" fontId="0" fillId="0" borderId="18" xfId="44" applyNumberFormat="1" applyFont="1" applyFill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3" fillId="0" borderId="17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right" wrapText="1"/>
    </xf>
    <xf numFmtId="167" fontId="0" fillId="0" borderId="19" xfId="44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right" wrapText="1"/>
    </xf>
    <xf numFmtId="3" fontId="8" fillId="0" borderId="17" xfId="0" applyNumberFormat="1" applyFont="1" applyFill="1" applyBorder="1" applyAlignment="1">
      <alignment horizontal="right" wrapText="1"/>
    </xf>
    <xf numFmtId="169" fontId="0" fillId="0" borderId="13" xfId="42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 horizontal="right" wrapText="1"/>
    </xf>
    <xf numFmtId="169" fontId="0" fillId="0" borderId="19" xfId="42" applyNumberFormat="1" applyFont="1" applyFill="1" applyBorder="1" applyAlignment="1">
      <alignment/>
    </xf>
    <xf numFmtId="42" fontId="3" fillId="0" borderId="16" xfId="0" applyNumberFormat="1" applyFont="1" applyFill="1" applyBorder="1" applyAlignment="1">
      <alignment horizontal="right" wrapText="1"/>
    </xf>
    <xf numFmtId="42" fontId="3" fillId="0" borderId="17" xfId="0" applyNumberFormat="1" applyFont="1" applyFill="1" applyBorder="1" applyAlignment="1">
      <alignment horizontal="right" wrapText="1"/>
    </xf>
    <xf numFmtId="42" fontId="3" fillId="0" borderId="18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 vertical="center"/>
    </xf>
    <xf numFmtId="42" fontId="3" fillId="0" borderId="0" xfId="44" applyNumberFormat="1" applyFont="1" applyAlignment="1">
      <alignment vertical="center"/>
    </xf>
    <xf numFmtId="3" fontId="3" fillId="0" borderId="0" xfId="44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42" fontId="8" fillId="0" borderId="0" xfId="0" applyNumberFormat="1" applyFont="1" applyAlignment="1">
      <alignment vertical="center"/>
    </xf>
    <xf numFmtId="42" fontId="3" fillId="0" borderId="0" xfId="0" applyNumberFormat="1" applyFont="1" applyAlignment="1">
      <alignment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41" fontId="3" fillId="2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10" fontId="3" fillId="3" borderId="0" xfId="0" applyNumberFormat="1" applyFont="1" applyFill="1" applyAlignment="1">
      <alignment vertical="center"/>
    </xf>
    <xf numFmtId="42" fontId="3" fillId="3" borderId="0" xfId="0" applyNumberFormat="1" applyFont="1" applyFill="1" applyAlignment="1">
      <alignment vertical="center"/>
    </xf>
    <xf numFmtId="0" fontId="0" fillId="0" borderId="0" xfId="0" applyAlignment="1">
      <alignment horizontal="centerContinuous" vertical="center"/>
    </xf>
    <xf numFmtId="41" fontId="3" fillId="5" borderId="0" xfId="0" applyNumberFormat="1" applyFont="1" applyFill="1" applyAlignment="1">
      <alignment horizontal="centerContinuous"/>
    </xf>
    <xf numFmtId="174" fontId="3" fillId="5" borderId="0" xfId="0" applyNumberFormat="1" applyFont="1" applyFill="1" applyAlignment="1">
      <alignment horizontal="centerContinuous"/>
    </xf>
    <xf numFmtId="42" fontId="3" fillId="34" borderId="0" xfId="0" applyNumberFormat="1" applyFont="1" applyFill="1" applyAlignment="1">
      <alignment horizontal="centerContinuous" wrapText="1"/>
    </xf>
    <xf numFmtId="169" fontId="2" fillId="3" borderId="0" xfId="42" applyNumberFormat="1" applyFont="1" applyFill="1" applyAlignment="1">
      <alignment/>
    </xf>
    <xf numFmtId="169" fontId="2" fillId="3" borderId="14" xfId="42" applyNumberFormat="1" applyFont="1" applyFill="1" applyBorder="1" applyAlignment="1">
      <alignment/>
    </xf>
    <xf numFmtId="169" fontId="3" fillId="3" borderId="0" xfId="42" applyNumberFormat="1" applyFont="1" applyFill="1" applyAlignment="1">
      <alignment/>
    </xf>
    <xf numFmtId="44" fontId="3" fillId="2" borderId="0" xfId="0" applyNumberFormat="1" applyFont="1" applyFill="1" applyAlignment="1">
      <alignment horizontal="center"/>
    </xf>
    <xf numFmtId="42" fontId="3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Continuous"/>
    </xf>
    <xf numFmtId="10" fontId="0" fillId="0" borderId="0" xfId="0" applyNumberFormat="1" applyAlignment="1">
      <alignment horizontal="centerContinuous"/>
    </xf>
    <xf numFmtId="41" fontId="0" fillId="0" borderId="0" xfId="0" applyNumberFormat="1" applyAlignment="1">
      <alignment horizontal="centerContinuous"/>
    </xf>
    <xf numFmtId="42" fontId="2" fillId="0" borderId="0" xfId="0" applyNumberFormat="1" applyFont="1" applyAlignment="1">
      <alignment horizontal="centerContinuous"/>
    </xf>
    <xf numFmtId="9" fontId="2" fillId="10" borderId="0" xfId="0" applyNumberFormat="1" applyFont="1" applyFill="1" applyAlignment="1">
      <alignment horizontal="center"/>
    </xf>
    <xf numFmtId="10" fontId="3" fillId="10" borderId="14" xfId="0" applyNumberFormat="1" applyFont="1" applyFill="1" applyBorder="1" applyAlignment="1">
      <alignment horizontal="center" wrapText="1"/>
    </xf>
    <xf numFmtId="42" fontId="0" fillId="3" borderId="0" xfId="0" applyNumberFormat="1" applyFill="1" applyAlignment="1">
      <alignment horizontal="centerContinuous"/>
    </xf>
    <xf numFmtId="42" fontId="0" fillId="2" borderId="0" xfId="0" applyNumberFormat="1" applyFill="1" applyAlignment="1">
      <alignment horizontal="centerContinuous"/>
    </xf>
    <xf numFmtId="3" fontId="9" fillId="0" borderId="0" xfId="0" applyNumberFormat="1" applyFont="1" applyBorder="1" applyAlignment="1">
      <alignment/>
    </xf>
    <xf numFmtId="0" fontId="13" fillId="0" borderId="14" xfId="0" applyFont="1" applyBorder="1" applyAlignment="1">
      <alignment horizontal="centerContinuous" vertical="center"/>
    </xf>
    <xf numFmtId="0" fontId="3" fillId="0" borderId="0" xfId="0" applyFont="1" applyAlignment="1">
      <alignment horizontal="center" vertical="center" wrapText="1"/>
    </xf>
    <xf numFmtId="41" fontId="2" fillId="2" borderId="0" xfId="0" applyNumberFormat="1" applyFont="1" applyFill="1" applyBorder="1" applyAlignment="1">
      <alignment/>
    </xf>
    <xf numFmtId="44" fontId="3" fillId="2" borderId="14" xfId="0" applyNumberFormat="1" applyFont="1" applyFill="1" applyBorder="1" applyAlignment="1">
      <alignment horizontal="centerContinuous"/>
    </xf>
    <xf numFmtId="42" fontId="3" fillId="3" borderId="0" xfId="0" applyNumberFormat="1" applyFont="1" applyFill="1" applyAlignment="1">
      <alignment horizontal="centerContinuous"/>
    </xf>
    <xf numFmtId="42" fontId="3" fillId="2" borderId="0" xfId="0" applyNumberFormat="1" applyFont="1" applyFill="1" applyAlignment="1">
      <alignment horizontal="centerContinuous"/>
    </xf>
    <xf numFmtId="44" fontId="3" fillId="3" borderId="0" xfId="0" applyNumberFormat="1" applyFont="1" applyFill="1" applyAlignment="1">
      <alignment horizontal="centerContinuous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3" fillId="0" borderId="0" xfId="0" applyFont="1" applyAlignment="1">
      <alignment vertical="center"/>
    </xf>
    <xf numFmtId="42" fontId="3" fillId="0" borderId="0" xfId="0" applyNumberFormat="1" applyFont="1" applyFill="1" applyAlignment="1">
      <alignment vertical="center"/>
    </xf>
    <xf numFmtId="42" fontId="8" fillId="34" borderId="0" xfId="0" applyNumberFormat="1" applyFont="1" applyFill="1" applyAlignment="1">
      <alignment vertical="center"/>
    </xf>
    <xf numFmtId="42" fontId="3" fillId="34" borderId="0" xfId="0" applyNumberFormat="1" applyFont="1" applyFill="1" applyAlignment="1">
      <alignment vertical="center"/>
    </xf>
    <xf numFmtId="44" fontId="3" fillId="34" borderId="0" xfId="0" applyNumberFormat="1" applyFont="1" applyFill="1" applyAlignment="1">
      <alignment vertical="center"/>
    </xf>
    <xf numFmtId="44" fontId="3" fillId="0" borderId="0" xfId="0" applyNumberFormat="1" applyFont="1" applyAlignment="1">
      <alignment vertical="center"/>
    </xf>
    <xf numFmtId="42" fontId="3" fillId="5" borderId="0" xfId="0" applyNumberFormat="1" applyFont="1" applyFill="1" applyAlignment="1">
      <alignment vertical="center"/>
    </xf>
    <xf numFmtId="174" fontId="3" fillId="5" borderId="0" xfId="0" applyNumberFormat="1" applyFont="1" applyFill="1" applyAlignment="1">
      <alignment vertical="center"/>
    </xf>
    <xf numFmtId="42" fontId="3" fillId="7" borderId="0" xfId="0" applyNumberFormat="1" applyFont="1" applyFill="1" applyAlignment="1">
      <alignment vertical="center"/>
    </xf>
    <xf numFmtId="1" fontId="3" fillId="3" borderId="0" xfId="0" applyNumberFormat="1" applyFont="1" applyFill="1" applyAlignment="1">
      <alignment vertical="center"/>
    </xf>
    <xf numFmtId="42" fontId="4" fillId="0" borderId="14" xfId="0" applyNumberFormat="1" applyFont="1" applyBorder="1" applyAlignment="1">
      <alignment horizontal="centerContinuous" vertical="center"/>
    </xf>
    <xf numFmtId="0" fontId="0" fillId="0" borderId="14" xfId="0" applyBorder="1" applyAlignment="1">
      <alignment horizontal="centerContinuous"/>
    </xf>
    <xf numFmtId="3" fontId="0" fillId="0" borderId="14" xfId="0" applyNumberFormat="1" applyBorder="1" applyAlignment="1">
      <alignment horizontal="centerContinuous"/>
    </xf>
    <xf numFmtId="42" fontId="0" fillId="0" borderId="14" xfId="0" applyNumberFormat="1" applyBorder="1" applyAlignment="1">
      <alignment horizontal="centerContinuous"/>
    </xf>
    <xf numFmtId="42" fontId="2" fillId="0" borderId="14" xfId="0" applyNumberFormat="1" applyFont="1" applyFill="1" applyBorder="1" applyAlignment="1">
      <alignment horizontal="centerContinuous"/>
    </xf>
    <xf numFmtId="41" fontId="3" fillId="0" borderId="0" xfId="0" applyNumberFormat="1" applyFont="1" applyFill="1" applyAlignment="1">
      <alignment vertical="center"/>
    </xf>
    <xf numFmtId="42" fontId="8" fillId="0" borderId="0" xfId="0" applyNumberFormat="1" applyFont="1" applyFill="1" applyAlignment="1">
      <alignment vertical="center"/>
    </xf>
    <xf numFmtId="44" fontId="3" fillId="0" borderId="0" xfId="0" applyNumberFormat="1" applyFont="1" applyFill="1" applyAlignment="1">
      <alignment vertical="center"/>
    </xf>
    <xf numFmtId="174" fontId="3" fillId="0" borderId="0" xfId="0" applyNumberFormat="1" applyFont="1" applyFill="1" applyAlignment="1">
      <alignment vertical="center"/>
    </xf>
    <xf numFmtId="42" fontId="3" fillId="0" borderId="0" xfId="44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10" fontId="3" fillId="0" borderId="0" xfId="0" applyNumberFormat="1" applyFont="1" applyFill="1" applyAlignment="1">
      <alignment vertical="center"/>
    </xf>
    <xf numFmtId="3" fontId="3" fillId="0" borderId="0" xfId="44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42" fontId="3" fillId="0" borderId="0" xfId="44" applyNumberFormat="1" applyFont="1" applyFill="1" applyAlignment="1">
      <alignment vertical="center"/>
    </xf>
    <xf numFmtId="3" fontId="3" fillId="0" borderId="0" xfId="44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42" fontId="8" fillId="0" borderId="0" xfId="0" applyNumberFormat="1" applyFont="1" applyFill="1" applyAlignment="1">
      <alignment vertical="center"/>
    </xf>
    <xf numFmtId="169" fontId="3" fillId="0" borderId="0" xfId="42" applyNumberFormat="1" applyFont="1" applyFill="1" applyAlignment="1">
      <alignment vertical="center"/>
    </xf>
    <xf numFmtId="0" fontId="8" fillId="0" borderId="0" xfId="56" applyFont="1" applyFill="1" applyBorder="1" applyAlignment="1">
      <alignment horizontal="right" vertical="center"/>
      <protection/>
    </xf>
    <xf numFmtId="42" fontId="8" fillId="0" borderId="0" xfId="46" applyNumberFormat="1" applyFont="1" applyFill="1" applyBorder="1" applyAlignment="1">
      <alignment vertical="center"/>
    </xf>
    <xf numFmtId="44" fontId="2" fillId="0" borderId="0" xfId="0" applyNumberFormat="1" applyFont="1" applyAlignment="1">
      <alignment vertical="center"/>
    </xf>
    <xf numFmtId="0" fontId="14" fillId="0" borderId="0" xfId="0" applyFont="1" applyAlignment="1">
      <alignment horizontal="centerContinuous" vertical="center"/>
    </xf>
    <xf numFmtId="0" fontId="15" fillId="0" borderId="0" xfId="56" applyFont="1" applyBorder="1" applyAlignment="1">
      <alignment horizontal="centerContinuous" vertical="center"/>
      <protection/>
    </xf>
    <xf numFmtId="44" fontId="14" fillId="0" borderId="0" xfId="0" applyNumberFormat="1" applyFont="1" applyAlignment="1">
      <alignment horizontal="centerContinuous" vertical="center"/>
    </xf>
    <xf numFmtId="10" fontId="0" fillId="33" borderId="0" xfId="0" applyNumberFormat="1" applyFill="1" applyAlignment="1" applyProtection="1">
      <alignment horizontal="right"/>
      <protection locked="0"/>
    </xf>
    <xf numFmtId="42" fontId="3" fillId="0" borderId="0" xfId="0" applyNumberFormat="1" applyFont="1" applyFill="1" applyAlignment="1">
      <alignment horizontal="center" wrapText="1"/>
    </xf>
    <xf numFmtId="42" fontId="9" fillId="0" borderId="0" xfId="0" applyNumberFormat="1" applyFont="1" applyFill="1" applyAlignment="1">
      <alignment/>
    </xf>
    <xf numFmtId="42" fontId="9" fillId="0" borderId="14" xfId="0" applyNumberFormat="1" applyFont="1" applyFill="1" applyBorder="1" applyAlignment="1">
      <alignment/>
    </xf>
    <xf numFmtId="42" fontId="3" fillId="0" borderId="0" xfId="0" applyNumberFormat="1" applyFont="1" applyFill="1" applyAlignment="1">
      <alignment/>
    </xf>
    <xf numFmtId="42" fontId="3" fillId="37" borderId="0" xfId="0" applyNumberFormat="1" applyFont="1" applyFill="1" applyAlignment="1">
      <alignment horizontal="center" wrapText="1"/>
    </xf>
    <xf numFmtId="42" fontId="9" fillId="37" borderId="0" xfId="0" applyNumberFormat="1" applyFont="1" applyFill="1" applyAlignment="1">
      <alignment/>
    </xf>
    <xf numFmtId="42" fontId="9" fillId="37" borderId="14" xfId="0" applyNumberFormat="1" applyFont="1" applyFill="1" applyBorder="1" applyAlignment="1">
      <alignment/>
    </xf>
    <xf numFmtId="42" fontId="8" fillId="37" borderId="0" xfId="0" applyNumberFormat="1" applyFont="1" applyFill="1" applyAlignment="1">
      <alignment vertical="center"/>
    </xf>
    <xf numFmtId="42" fontId="8" fillId="37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3" fontId="3" fillId="0" borderId="0" xfId="44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44" fontId="3" fillId="0" borderId="0" xfId="0" applyNumberFormat="1" applyFont="1" applyFill="1" applyAlignment="1">
      <alignment horizontal="centerContinuous"/>
    </xf>
    <xf numFmtId="44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2" fontId="2" fillId="0" borderId="0" xfId="44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/>
    </xf>
    <xf numFmtId="0" fontId="3" fillId="33" borderId="14" xfId="0" applyFont="1" applyFill="1" applyBorder="1" applyAlignment="1">
      <alignment horizontal="center" wrapText="1"/>
    </xf>
    <xf numFmtId="9" fontId="2" fillId="33" borderId="0" xfId="0" applyNumberFormat="1" applyFon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2" fontId="9" fillId="0" borderId="0" xfId="0" applyNumberFormat="1" applyFont="1" applyBorder="1" applyAlignment="1">
      <alignment/>
    </xf>
    <xf numFmtId="3" fontId="2" fillId="2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8" fillId="0" borderId="11" xfId="0" applyNumberFormat="1" applyFont="1" applyBorder="1" applyAlignment="1">
      <alignment vertical="center"/>
    </xf>
    <xf numFmtId="42" fontId="8" fillId="0" borderId="11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42" fontId="8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42" fontId="8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42" fontId="8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42" fontId="3" fillId="2" borderId="0" xfId="0" applyNumberFormat="1" applyFont="1" applyFill="1" applyAlignment="1">
      <alignment horizontal="center"/>
    </xf>
    <xf numFmtId="42" fontId="3" fillId="34" borderId="0" xfId="0" applyNumberFormat="1" applyFont="1" applyFill="1" applyAlignment="1">
      <alignment horizontal="center" wrapText="1"/>
    </xf>
    <xf numFmtId="41" fontId="3" fillId="5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0" fillId="33" borderId="0" xfId="0" applyFill="1" applyAlignment="1">
      <alignment horizontal="right"/>
    </xf>
    <xf numFmtId="42" fontId="2" fillId="2" borderId="14" xfId="0" applyNumberFormat="1" applyFont="1" applyFill="1" applyBorder="1" applyAlignment="1">
      <alignment/>
    </xf>
    <xf numFmtId="41" fontId="3" fillId="0" borderId="0" xfId="0" applyNumberFormat="1" applyFont="1" applyAlignment="1">
      <alignment vertical="center"/>
    </xf>
    <xf numFmtId="42" fontId="3" fillId="0" borderId="11" xfId="44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" fontId="3" fillId="0" borderId="11" xfId="44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42" fontId="3" fillId="0" borderId="11" xfId="44" applyNumberFormat="1" applyFont="1" applyFill="1" applyBorder="1" applyAlignment="1">
      <alignment vertical="center"/>
    </xf>
    <xf numFmtId="42" fontId="3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42" fontId="3" fillId="0" borderId="0" xfId="44" applyNumberFormat="1" applyFont="1" applyFill="1" applyBorder="1" applyAlignment="1">
      <alignment vertical="center"/>
    </xf>
    <xf numFmtId="42" fontId="2" fillId="0" borderId="14" xfId="0" applyNumberFormat="1" applyFont="1" applyFill="1" applyBorder="1" applyAlignment="1">
      <alignment/>
    </xf>
    <xf numFmtId="42" fontId="9" fillId="34" borderId="14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9</xdr:col>
      <xdr:colOff>152400</xdr:colOff>
      <xdr:row>56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10772775"/>
          <a:ext cx="54197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= We support WiredWest's solution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 = We are seriously considering WiredWest's solution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= We are actively pursuing other options, but have not ruled out the WiredWest solution.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58</xdr:row>
      <xdr:rowOff>57150</xdr:rowOff>
    </xdr:from>
    <xdr:to>
      <xdr:col>20</xdr:col>
      <xdr:colOff>409575</xdr:colOff>
      <xdr:row>61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10925175"/>
          <a:ext cx="55626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KEY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= We support WiredWest's solution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 = We are seriously considering WiredWest's solution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= We are actively pursuing other options, but have not ruled out the WiredWest solution.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64</xdr:row>
      <xdr:rowOff>0</xdr:rowOff>
    </xdr:from>
    <xdr:to>
      <xdr:col>31</xdr:col>
      <xdr:colOff>0</xdr:colOff>
      <xdr:row>68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11658600"/>
          <a:ext cx="6057900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= We support WiredWest's solution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 = We are seriously considering WiredWest's solution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= We are actively pursuing other options, but have not ruled out the WiredWest solution.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58</xdr:row>
      <xdr:rowOff>19050</xdr:rowOff>
    </xdr:from>
    <xdr:to>
      <xdr:col>9</xdr:col>
      <xdr:colOff>161925</xdr:colOff>
      <xdr:row>62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11591925"/>
          <a:ext cx="56673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= We support WiredWest's solution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 = We are seriously considering WiredWest's solution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= We are actively pursuing other options, but have not ruled out the WiredWest solution.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320</xdr:row>
      <xdr:rowOff>0</xdr:rowOff>
    </xdr:from>
    <xdr:to>
      <xdr:col>8</xdr:col>
      <xdr:colOff>304800</xdr:colOff>
      <xdr:row>324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61055250"/>
          <a:ext cx="54387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= We support WiredWest's solution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 = We are seriously considering WiredWest's solution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= We are actively pursuing other options, but have not ruled out the WiredWest solution.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45</xdr:row>
      <xdr:rowOff>0</xdr:rowOff>
    </xdr:from>
    <xdr:to>
      <xdr:col>8</xdr:col>
      <xdr:colOff>9525</xdr:colOff>
      <xdr:row>50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7981950"/>
          <a:ext cx="489585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KEY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= We support WiredWest's solution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 = We are seriously considering WiredWest's solution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= We are actively pursuing other options, but have not ruled out the WiredWest solution.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4"/>
  <sheetViews>
    <sheetView showGridLines="0" zoomScalePageLayoutView="0" workbookViewId="0" topLeftCell="A1">
      <selection activeCell="F3" sqref="F3"/>
    </sheetView>
  </sheetViews>
  <sheetFormatPr defaultColWidth="11.421875" defaultRowHeight="15"/>
  <cols>
    <col min="1" max="1" width="2.421875" style="122" customWidth="1"/>
    <col min="2" max="2" width="52.421875" style="127" customWidth="1"/>
    <col min="3" max="3" width="1.7109375" style="122" customWidth="1"/>
    <col min="4" max="4" width="17.421875" style="122" customWidth="1"/>
    <col min="5" max="5" width="2.7109375" style="122" customWidth="1"/>
    <col min="6" max="6" width="15.7109375" style="122" customWidth="1"/>
    <col min="7" max="7" width="1.7109375" style="122" customWidth="1"/>
    <col min="8" max="8" width="56.140625" style="122" customWidth="1"/>
    <col min="9" max="9" width="3.7109375" style="122" customWidth="1"/>
    <col min="10" max="10" width="16.00390625" style="122" customWidth="1"/>
    <col min="11" max="16384" width="11.421875" style="122" customWidth="1"/>
  </cols>
  <sheetData>
    <row r="1" ht="7.5" customHeight="1"/>
    <row r="2" spans="2:8" ht="30" customHeight="1">
      <c r="B2" s="132" t="s">
        <v>121</v>
      </c>
      <c r="H2" s="133" t="s">
        <v>132</v>
      </c>
    </row>
    <row r="3" spans="2:8" ht="30" customHeight="1">
      <c r="B3" s="132" t="s">
        <v>133</v>
      </c>
      <c r="F3" s="182">
        <f>VLOOKUP(D33,'Input Data'!$H$2:$I$14,2,FALSE)</f>
        <v>0</v>
      </c>
      <c r="G3" s="134"/>
      <c r="H3" s="133" t="s">
        <v>134</v>
      </c>
    </row>
    <row r="4" spans="2:7" ht="30" customHeight="1">
      <c r="B4" s="132" t="s">
        <v>135</v>
      </c>
      <c r="F4" s="134"/>
      <c r="G4" s="134"/>
    </row>
    <row r="6" spans="2:9" ht="15">
      <c r="B6" s="258" t="s">
        <v>128</v>
      </c>
      <c r="C6" s="142"/>
      <c r="D6" s="143">
        <f>VLOOKUP($D$31,'full set'!$B$10:$AP$57,3,FALSE)</f>
        <v>1760000</v>
      </c>
      <c r="E6" s="137"/>
      <c r="F6" s="241">
        <f>VLOOKUP($D$31,'full set'!$B$10:$AP$57,18,FALSE)</f>
        <v>44.73064573247267</v>
      </c>
      <c r="G6" s="142"/>
      <c r="H6" s="242" t="s">
        <v>162</v>
      </c>
      <c r="I6" s="137"/>
    </row>
    <row r="7" spans="2:9" ht="15">
      <c r="B7" s="259" t="s">
        <v>129</v>
      </c>
      <c r="C7" s="144"/>
      <c r="D7" s="145">
        <f>VLOOKUP($D$31,'full set'!$B$10:$AP$57,4,FALSE)</f>
        <v>350000</v>
      </c>
      <c r="E7" s="137"/>
      <c r="F7" s="257">
        <f>VLOOKUP($D$31,'full set'!$B$10:$AP$57,19,FALSE)</f>
        <v>59</v>
      </c>
      <c r="G7" s="146"/>
      <c r="H7" s="246" t="s">
        <v>161</v>
      </c>
      <c r="I7" s="137"/>
    </row>
    <row r="8" spans="2:9" ht="15">
      <c r="B8" s="259" t="s">
        <v>130</v>
      </c>
      <c r="C8" s="144"/>
      <c r="D8" s="145">
        <f>VLOOKUP($D$31,'full set'!$B$10:$AP$57,5,FALSE)</f>
        <v>300000</v>
      </c>
      <c r="E8" s="137"/>
      <c r="F8" s="141"/>
      <c r="G8" s="137"/>
      <c r="H8" s="138"/>
      <c r="I8" s="144"/>
    </row>
    <row r="9" spans="2:9" ht="15">
      <c r="B9" s="259" t="s">
        <v>38</v>
      </c>
      <c r="C9" s="144"/>
      <c r="D9" s="145">
        <f>VLOOKUP($D$31,'full set'!$B$10:$AP$57,6,FALSE)</f>
        <v>1110000</v>
      </c>
      <c r="E9" s="137"/>
      <c r="F9" s="241">
        <f>VLOOKUP($D$31,'full set'!$B$10:$AP$57,28,FALSE)</f>
        <v>30583.5</v>
      </c>
      <c r="G9" s="142"/>
      <c r="H9" s="242" t="s">
        <v>136</v>
      </c>
      <c r="I9" s="144"/>
    </row>
    <row r="10" spans="2:9" ht="15">
      <c r="B10" s="260" t="s">
        <v>169</v>
      </c>
      <c r="C10" s="146"/>
      <c r="D10" s="261">
        <f>VLOOKUP($D$31,'full set'!$B$10:$AP$57,7,FALSE)</f>
        <v>440550</v>
      </c>
      <c r="E10" s="137"/>
      <c r="F10" s="243">
        <f>VLOOKUP($D$31,'full set'!$B$10:$AP$57,29,FALSE)</f>
        <v>16.4515868746638</v>
      </c>
      <c r="G10" s="144"/>
      <c r="H10" s="244" t="s">
        <v>163</v>
      </c>
      <c r="I10" s="144"/>
    </row>
    <row r="11" spans="2:9" ht="15">
      <c r="B11" s="135"/>
      <c r="C11" s="137"/>
      <c r="D11" s="139"/>
      <c r="E11" s="137"/>
      <c r="F11" s="243">
        <f>VLOOKUP($D$31,'full set'!$B$10:$AP$57,30,FALSE)</f>
        <v>75.4515868746638</v>
      </c>
      <c r="G11" s="144"/>
      <c r="H11" s="244" t="s">
        <v>164</v>
      </c>
      <c r="I11" s="144"/>
    </row>
    <row r="12" spans="2:9" ht="15">
      <c r="B12" s="262" t="s">
        <v>28</v>
      </c>
      <c r="C12" s="142"/>
      <c r="D12" s="147">
        <f>VLOOKUP($D$31,'full set'!$B$10:$AP$57,8,FALSE)</f>
        <v>206909</v>
      </c>
      <c r="E12" s="137"/>
      <c r="F12" s="245">
        <f>VLOOKUP($D$31,'full set'!$B$10:$AP$57,31,FALSE)</f>
        <v>6.041573014596035</v>
      </c>
      <c r="G12" s="146"/>
      <c r="H12" s="246" t="s">
        <v>165</v>
      </c>
      <c r="I12" s="144"/>
    </row>
    <row r="13" spans="2:9" ht="15">
      <c r="B13" s="263" t="s">
        <v>29</v>
      </c>
      <c r="C13" s="144"/>
      <c r="D13" s="264">
        <f>VLOOKUP($D$31,'full set'!$B$10:$AP$57,9,FALSE)</f>
        <v>979</v>
      </c>
      <c r="E13" s="137"/>
      <c r="F13" s="141"/>
      <c r="G13" s="137"/>
      <c r="H13" s="137"/>
      <c r="I13" s="144"/>
    </row>
    <row r="14" spans="2:9" ht="15">
      <c r="B14" s="263" t="s">
        <v>30</v>
      </c>
      <c r="C14" s="144"/>
      <c r="D14" s="264">
        <f>VLOOKUP($D$31,'full set'!$B$10:$AP$57,10,FALSE)</f>
        <v>329</v>
      </c>
      <c r="E14" s="137"/>
      <c r="F14" s="241">
        <f>VLOOKUP($D$31,'full set'!$B$10:$AP$57,33,FALSE)</f>
        <v>78933.33333333333</v>
      </c>
      <c r="G14" s="142"/>
      <c r="H14" s="248" t="s">
        <v>92</v>
      </c>
      <c r="I14" s="144"/>
    </row>
    <row r="15" spans="2:9" ht="15">
      <c r="B15" s="263" t="s">
        <v>170</v>
      </c>
      <c r="C15" s="144"/>
      <c r="D15" s="264">
        <f>VLOOKUP($D$31,'full set'!$B$10:$AP$57,11,FALSE)</f>
        <v>46</v>
      </c>
      <c r="E15" s="137"/>
      <c r="F15" s="243">
        <f>VLOOKUP($D$31,'full set'!$B$10:$AP$57,34,FALSE)</f>
        <v>42.460103998565536</v>
      </c>
      <c r="G15" s="144"/>
      <c r="H15" s="249" t="s">
        <v>166</v>
      </c>
      <c r="I15" s="144"/>
    </row>
    <row r="16" spans="2:9" ht="15">
      <c r="B16" s="265" t="s">
        <v>171</v>
      </c>
      <c r="C16" s="146"/>
      <c r="D16" s="266">
        <f>VLOOKUP($D$31,'full set'!$B$10:$AP$57,12,FALSE)</f>
        <v>309.8333333333333</v>
      </c>
      <c r="E16" s="137"/>
      <c r="F16" s="243">
        <f>VLOOKUP($D$31,'full set'!$B$10:$AP$57,35,FALSE)</f>
        <v>101.46010399856553</v>
      </c>
      <c r="G16" s="144"/>
      <c r="H16" s="249" t="s">
        <v>167</v>
      </c>
      <c r="I16" s="144"/>
    </row>
    <row r="17" spans="2:9" ht="15">
      <c r="B17" s="136"/>
      <c r="C17" s="137"/>
      <c r="D17" s="140"/>
      <c r="E17" s="137"/>
      <c r="F17" s="245">
        <f>VLOOKUP($D$31,'full set'!$B$10:$AP$57,36,FALSE)</f>
        <v>15.59277050104731</v>
      </c>
      <c r="G17" s="146"/>
      <c r="H17" s="250" t="s">
        <v>168</v>
      </c>
      <c r="I17" s="144"/>
    </row>
    <row r="18" spans="2:9" ht="15">
      <c r="B18" s="267" t="s">
        <v>131</v>
      </c>
      <c r="C18" s="142"/>
      <c r="D18" s="143">
        <f>VLOOKUP($D$31,'full set'!$B$10:$AP$57,13,FALSE)</f>
        <v>17320.791287878787</v>
      </c>
      <c r="E18" s="137"/>
      <c r="F18" s="137"/>
      <c r="G18" s="137"/>
      <c r="H18" s="137"/>
      <c r="I18" s="144"/>
    </row>
    <row r="19" spans="2:9" ht="15">
      <c r="B19" s="268" t="s">
        <v>172</v>
      </c>
      <c r="C19" s="144"/>
      <c r="D19" s="145">
        <f>VLOOKUP($D$31,'full set'!$B$10:$AP$57,14,FALSE)</f>
        <v>16643</v>
      </c>
      <c r="E19" s="137"/>
      <c r="F19" s="251">
        <f>VLOOKUP($D$31,'Assessed Value'!$B$3:$G$41,3,FALSE)</f>
        <v>329</v>
      </c>
      <c r="G19" s="142"/>
      <c r="H19" s="252" t="s">
        <v>30</v>
      </c>
      <c r="I19" s="186"/>
    </row>
    <row r="20" spans="2:9" ht="15">
      <c r="B20" s="268" t="s">
        <v>173</v>
      </c>
      <c r="C20" s="144"/>
      <c r="D20" s="145">
        <f>VLOOKUP($D$31,'full set'!$B$10:$AP$57,15,FALSE)</f>
        <v>12831</v>
      </c>
      <c r="E20" s="137"/>
      <c r="F20" s="253">
        <f>VLOOKUP($D$31,'Assessed Value'!$B$3:$G$41,4,FALSE)</f>
        <v>86080486</v>
      </c>
      <c r="G20" s="144"/>
      <c r="H20" s="254" t="s">
        <v>118</v>
      </c>
      <c r="I20" s="186"/>
    </row>
    <row r="21" spans="2:9" ht="15">
      <c r="B21" s="268" t="s">
        <v>174</v>
      </c>
      <c r="C21" s="144"/>
      <c r="D21" s="145">
        <f>VLOOKUP($D$31,'full set'!$B$10:$AP$57,16,FALSE)</f>
        <v>28800</v>
      </c>
      <c r="E21" s="137"/>
      <c r="F21" s="253">
        <f>VLOOKUP($D$31,'Assessed Value'!$B$3:$G$41,5,FALSE)</f>
        <v>67134336</v>
      </c>
      <c r="G21" s="144"/>
      <c r="H21" s="254" t="s">
        <v>119</v>
      </c>
      <c r="I21" s="186"/>
    </row>
    <row r="22" spans="2:9" ht="15">
      <c r="B22" s="269" t="s">
        <v>175</v>
      </c>
      <c r="C22" s="146"/>
      <c r="D22" s="261">
        <f>VLOOKUP($D$31,'full set'!$B$10:$AP$57,17,FALSE)</f>
        <v>83154.27041666668</v>
      </c>
      <c r="E22" s="137"/>
      <c r="F22" s="255">
        <f>VLOOKUP($D$31,'Assessed Value'!$B$3:$G$41,6,FALSE)</f>
        <v>204055.73252279634</v>
      </c>
      <c r="G22" s="146"/>
      <c r="H22" s="256" t="s">
        <v>120</v>
      </c>
      <c r="I22" s="186"/>
    </row>
    <row r="23" ht="15">
      <c r="I23" s="247"/>
    </row>
    <row r="31" spans="2:4" ht="15">
      <c r="B31" s="187" t="s">
        <v>0</v>
      </c>
      <c r="C31" s="188"/>
      <c r="D31" s="187">
        <v>25</v>
      </c>
    </row>
    <row r="32" spans="2:4" ht="15">
      <c r="B32" s="187" t="s">
        <v>124</v>
      </c>
      <c r="C32" s="188"/>
      <c r="D32" s="187">
        <v>4</v>
      </c>
    </row>
    <row r="33" spans="2:4" ht="15">
      <c r="B33" s="187" t="s">
        <v>123</v>
      </c>
      <c r="C33" s="188"/>
      <c r="D33" s="188">
        <v>13</v>
      </c>
    </row>
    <row r="34" spans="2:4" ht="15">
      <c r="B34" s="187" t="s">
        <v>126</v>
      </c>
      <c r="C34" s="188"/>
      <c r="D34" s="188">
        <v>1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1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57"/>
  <sheetViews>
    <sheetView zoomScale="125" zoomScaleNormal="125" zoomScalePageLayoutView="0" workbookViewId="0" topLeftCell="A1">
      <pane xSplit="3" ySplit="9" topLeftCell="D10" activePane="bottomRight" state="frozen"/>
      <selection pane="topLeft" activeCell="A8" sqref="A8"/>
      <selection pane="topRight" activeCell="D8" sqref="D8"/>
      <selection pane="bottomLeft" activeCell="A10" sqref="A10"/>
      <selection pane="bottomRight" activeCell="A45" sqref="A45:IV45"/>
    </sheetView>
  </sheetViews>
  <sheetFormatPr defaultColWidth="11.421875" defaultRowHeight="16.5" customHeight="1"/>
  <cols>
    <col min="1" max="1" width="2.421875" style="0" customWidth="1"/>
    <col min="2" max="2" width="2.421875" style="0" hidden="1" customWidth="1"/>
    <col min="3" max="3" width="15.8515625" style="0" customWidth="1"/>
    <col min="4" max="4" width="10.7109375" style="0" customWidth="1"/>
    <col min="5" max="5" width="11.421875" style="0" customWidth="1"/>
    <col min="6" max="6" width="10.00390625" style="0" customWidth="1"/>
    <col min="7" max="7" width="10.421875" style="0" customWidth="1"/>
    <col min="8" max="8" width="10.7109375" style="0" bestFit="1" customWidth="1"/>
    <col min="9" max="9" width="9.8515625" style="1" bestFit="1" customWidth="1"/>
    <col min="10" max="11" width="6.7109375" style="0" bestFit="1" customWidth="1"/>
    <col min="12" max="41" width="9.421875" style="0" customWidth="1"/>
    <col min="42" max="43" width="8.421875" style="26" hidden="1" customWidth="1"/>
    <col min="44" max="44" width="10.00390625" style="26" hidden="1" customWidth="1"/>
    <col min="45" max="45" width="8.421875" style="26" hidden="1" customWidth="1"/>
    <col min="46" max="46" width="9.28125" style="26" hidden="1" customWidth="1"/>
    <col min="47" max="49" width="7.421875" style="26" hidden="1" customWidth="1"/>
    <col min="50" max="50" width="7.7109375" style="26" hidden="1" customWidth="1"/>
    <col min="51" max="51" width="10.140625" style="26" hidden="1" customWidth="1"/>
    <col min="52" max="52" width="5.421875" style="1" hidden="1" customWidth="1"/>
    <col min="53" max="53" width="7.421875" style="27" hidden="1" customWidth="1"/>
    <col min="54" max="54" width="9.140625" style="54" hidden="1" customWidth="1"/>
    <col min="55" max="55" width="10.421875" style="24" hidden="1" customWidth="1"/>
    <col min="56" max="56" width="1.7109375" style="65" hidden="1" customWidth="1"/>
    <col min="57" max="57" width="11.421875" style="26" hidden="1" customWidth="1"/>
    <col min="58" max="58" width="7.8515625" style="27" hidden="1" customWidth="1"/>
    <col min="59" max="59" width="9.140625" style="1" hidden="1" customWidth="1"/>
    <col min="60" max="60" width="10.00390625" style="43" hidden="1" customWidth="1"/>
    <col min="61" max="61" width="2.8515625" style="43" hidden="1" customWidth="1"/>
    <col min="62" max="62" width="9.421875" style="27" hidden="1" customWidth="1"/>
    <col min="63" max="63" width="7.28125" style="27" hidden="1" customWidth="1"/>
    <col min="64" max="64" width="8.421875" style="27" hidden="1" customWidth="1"/>
    <col min="65" max="65" width="8.7109375" style="26" hidden="1" customWidth="1"/>
    <col min="66" max="66" width="2.28125" style="26" hidden="1" customWidth="1"/>
    <col min="67" max="67" width="10.28125" style="1" hidden="1" customWidth="1"/>
    <col min="68" max="68" width="10.7109375" style="27" hidden="1" customWidth="1"/>
    <col min="69" max="69" width="7.8515625" style="0" hidden="1" customWidth="1"/>
    <col min="70" max="70" width="7.140625" style="0" customWidth="1"/>
    <col min="71" max="72" width="10.28125" style="0" customWidth="1"/>
    <col min="73" max="73" width="13.421875" style="41" bestFit="1" customWidth="1"/>
    <col min="74" max="74" width="9.28125" style="24" bestFit="1" customWidth="1"/>
    <col min="75" max="76" width="7.7109375" style="24" customWidth="1"/>
    <col min="77" max="78" width="8.8515625" style="41" customWidth="1"/>
    <col min="79" max="79" width="8.421875" style="41" customWidth="1"/>
    <col min="80" max="83" width="11.421875" style="26" customWidth="1"/>
    <col min="84" max="84" width="12.421875" style="26" bestFit="1" customWidth="1"/>
    <col min="85" max="85" width="12.421875" style="26" customWidth="1"/>
    <col min="86" max="86" width="11.421875" style="26" customWidth="1"/>
    <col min="87" max="87" width="11.421875" style="0" customWidth="1"/>
    <col min="88" max="88" width="11.421875" style="1" customWidth="1"/>
    <col min="89" max="91" width="11.421875" style="26" customWidth="1"/>
  </cols>
  <sheetData>
    <row r="1" spans="9:95" ht="16.5" customHeight="1" hidden="1">
      <c r="I1"/>
      <c r="L1" s="1"/>
      <c r="AP1"/>
      <c r="AQ1"/>
      <c r="AR1"/>
      <c r="AS1"/>
      <c r="AT1"/>
      <c r="AU1"/>
      <c r="AW1" s="298" t="s">
        <v>178</v>
      </c>
      <c r="AX1" s="298"/>
      <c r="AZ1" s="297" t="s">
        <v>179</v>
      </c>
      <c r="BA1" s="297"/>
      <c r="BB1" s="297"/>
      <c r="BC1" s="297"/>
      <c r="BD1" s="90"/>
      <c r="BF1" s="59"/>
      <c r="BG1" s="27"/>
      <c r="BJ1" s="59"/>
      <c r="BK1" s="54"/>
      <c r="BL1" s="54"/>
      <c r="BM1" s="24"/>
      <c r="BN1" s="24"/>
      <c r="BO1" s="27"/>
      <c r="BQ1" s="26"/>
      <c r="BR1" s="1"/>
      <c r="BS1" s="1"/>
      <c r="BT1" s="27"/>
      <c r="BU1"/>
      <c r="BV1"/>
      <c r="BW1"/>
      <c r="BX1"/>
      <c r="BZ1" s="24"/>
      <c r="CA1" s="24"/>
      <c r="CB1" s="24"/>
      <c r="CC1" s="41"/>
      <c r="CD1" s="41"/>
      <c r="CE1" s="41"/>
      <c r="CI1" s="26"/>
      <c r="CJ1" s="26"/>
      <c r="CM1"/>
      <c r="CN1" s="1"/>
      <c r="CO1" s="26"/>
      <c r="CP1" s="26"/>
      <c r="CQ1" s="26"/>
    </row>
    <row r="2" spans="42:84" s="46" customFormat="1" ht="16.5" customHeight="1" hidden="1">
      <c r="AP2" s="129" t="s">
        <v>48</v>
      </c>
      <c r="AQ2" s="130" t="s">
        <v>102</v>
      </c>
      <c r="AR2" s="131" t="s">
        <v>49</v>
      </c>
      <c r="AS2" s="129" t="s">
        <v>50</v>
      </c>
      <c r="AT2" s="130" t="s">
        <v>51</v>
      </c>
      <c r="AU2" s="130" t="s">
        <v>52</v>
      </c>
      <c r="AV2" s="83"/>
      <c r="AW2" s="60" t="s">
        <v>100</v>
      </c>
      <c r="AX2" s="60" t="s">
        <v>101</v>
      </c>
      <c r="AY2" s="56"/>
      <c r="AZ2" s="61" t="s">
        <v>103</v>
      </c>
      <c r="BA2" s="61" t="s">
        <v>100</v>
      </c>
      <c r="BB2" s="61" t="s">
        <v>104</v>
      </c>
      <c r="BC2" s="61" t="s">
        <v>107</v>
      </c>
      <c r="BD2" s="87"/>
      <c r="BE2" s="51" t="s">
        <v>97</v>
      </c>
      <c r="BF2" s="42"/>
      <c r="BH2" s="42"/>
      <c r="BI2" s="42"/>
      <c r="BJ2" s="42"/>
      <c r="BN2" s="49"/>
      <c r="BO2" s="50"/>
      <c r="BP2" s="50"/>
      <c r="BQ2" s="50"/>
      <c r="BR2" s="49"/>
      <c r="BS2" s="49"/>
      <c r="BT2" s="49"/>
      <c r="BU2" s="48"/>
      <c r="BV2" s="48"/>
      <c r="BW2" s="48"/>
      <c r="BX2" s="48"/>
      <c r="BY2" s="48"/>
      <c r="BZ2" s="48"/>
      <c r="CA2" s="48"/>
      <c r="CC2" s="47"/>
      <c r="CD2" s="48"/>
      <c r="CE2" s="48"/>
      <c r="CF2" s="48"/>
    </row>
    <row r="3" spans="9:91" ht="16.5" customHeight="1" hidden="1">
      <c r="I3"/>
      <c r="AP3" s="44">
        <f>VLOOKUP(Summary!D34,'Input Data'!$J$2:$K$13,2,FALSE)</f>
        <v>0</v>
      </c>
      <c r="AQ3" s="45">
        <v>19</v>
      </c>
      <c r="AR3" s="44">
        <f>VLOOKUP(Summary!D33,'Input Data'!$F$2:$G$14,2,FALSE)</f>
        <v>1</v>
      </c>
      <c r="AS3" s="44">
        <f>1-AR3</f>
        <v>0</v>
      </c>
      <c r="AT3" s="45">
        <v>59</v>
      </c>
      <c r="AU3" s="45">
        <v>75</v>
      </c>
      <c r="AV3" s="65"/>
      <c r="AW3" s="69">
        <v>40</v>
      </c>
      <c r="AX3" s="69">
        <v>12</v>
      </c>
      <c r="AY3" s="57"/>
      <c r="AZ3" s="62">
        <v>5000</v>
      </c>
      <c r="BA3" s="63">
        <v>22.95</v>
      </c>
      <c r="BB3" s="63">
        <v>37.95</v>
      </c>
      <c r="BC3" s="63">
        <v>4.75</v>
      </c>
      <c r="BD3" s="67"/>
      <c r="BE3" s="52">
        <f>VLOOKUP(Summary!D32,'Input Data'!$D$2:$E$13,2,FALSE)</f>
        <v>0.5</v>
      </c>
      <c r="BF3" s="26"/>
      <c r="BG3"/>
      <c r="BH3" s="26"/>
      <c r="BI3" s="26"/>
      <c r="BK3"/>
      <c r="BL3"/>
      <c r="BM3"/>
      <c r="BN3"/>
      <c r="BO3"/>
      <c r="BP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J3"/>
      <c r="CK3"/>
      <c r="CL3"/>
      <c r="CM3"/>
    </row>
    <row r="4" spans="9:91" ht="16.5" customHeight="1" hidden="1">
      <c r="I4"/>
      <c r="AP4" s="64"/>
      <c r="AQ4" s="65"/>
      <c r="AR4" s="64"/>
      <c r="AS4" s="64"/>
      <c r="AT4" s="64"/>
      <c r="AU4" s="65"/>
      <c r="AV4" s="65"/>
      <c r="AW4" s="65"/>
      <c r="AX4" s="65"/>
      <c r="AY4" s="57"/>
      <c r="AZ4" s="62">
        <v>10000</v>
      </c>
      <c r="BA4" s="63">
        <v>21.95</v>
      </c>
      <c r="BB4" s="63">
        <v>34.95</v>
      </c>
      <c r="BC4" s="63">
        <v>4.5</v>
      </c>
      <c r="BD4" s="67"/>
      <c r="BE4" s="24"/>
      <c r="BF4" s="53"/>
      <c r="BG4" s="68"/>
      <c r="BH4" s="88"/>
      <c r="BI4" s="88"/>
      <c r="BJ4" s="65"/>
      <c r="BK4" s="53"/>
      <c r="BL4" s="53"/>
      <c r="BM4" s="24"/>
      <c r="BN4" s="24"/>
      <c r="BO4" s="53"/>
      <c r="BP4" s="26"/>
      <c r="BQ4" s="26"/>
      <c r="BR4" s="26"/>
      <c r="BS4" s="27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J4"/>
      <c r="CK4"/>
      <c r="CL4"/>
      <c r="CM4"/>
    </row>
    <row r="5" spans="9:91" ht="16.5" customHeight="1" hidden="1">
      <c r="I5"/>
      <c r="AP5" s="64"/>
      <c r="AQ5" s="65"/>
      <c r="AR5" s="64"/>
      <c r="AS5" s="64"/>
      <c r="AT5" s="64"/>
      <c r="AU5" s="65"/>
      <c r="AV5" s="65"/>
      <c r="AW5" s="65"/>
      <c r="AX5" s="65"/>
      <c r="AY5" s="57"/>
      <c r="AZ5" s="62">
        <v>15000</v>
      </c>
      <c r="BA5" s="63">
        <v>20.95</v>
      </c>
      <c r="BB5" s="63">
        <v>32.95</v>
      </c>
      <c r="BC5" s="63">
        <v>4.25</v>
      </c>
      <c r="BD5" s="67"/>
      <c r="BE5" s="24"/>
      <c r="BF5" s="53"/>
      <c r="BG5" s="68"/>
      <c r="BH5" s="88"/>
      <c r="BI5" s="88"/>
      <c r="BJ5" s="65"/>
      <c r="BK5" s="53"/>
      <c r="BL5" s="53"/>
      <c r="BM5" s="24"/>
      <c r="BN5" s="24"/>
      <c r="BO5" s="53"/>
      <c r="BP5" s="26"/>
      <c r="BQ5" s="26"/>
      <c r="BR5" s="26"/>
      <c r="BS5" s="27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J5"/>
      <c r="CK5"/>
      <c r="CL5"/>
      <c r="CM5"/>
    </row>
    <row r="6" spans="9:91" ht="16.5" customHeight="1" hidden="1">
      <c r="I6"/>
      <c r="AP6" s="64"/>
      <c r="AQ6" s="65"/>
      <c r="AR6" s="64"/>
      <c r="AS6" s="64"/>
      <c r="AT6" s="64"/>
      <c r="AU6" s="65"/>
      <c r="AV6" s="65"/>
      <c r="AW6" s="65"/>
      <c r="AX6" s="65"/>
      <c r="AY6" s="57"/>
      <c r="AZ6" s="62">
        <v>20000</v>
      </c>
      <c r="BA6" s="63">
        <v>19.95</v>
      </c>
      <c r="BB6" s="63">
        <v>29.95</v>
      </c>
      <c r="BC6" s="63">
        <v>4</v>
      </c>
      <c r="BD6" s="67"/>
      <c r="BE6" s="24"/>
      <c r="BF6" s="53"/>
      <c r="BG6" s="68"/>
      <c r="BH6" s="88"/>
      <c r="BI6" s="88"/>
      <c r="BJ6" s="65"/>
      <c r="BK6" s="53"/>
      <c r="BL6" s="53"/>
      <c r="BM6" s="24"/>
      <c r="BN6" s="24"/>
      <c r="BO6" s="53"/>
      <c r="BP6" s="26"/>
      <c r="BQ6" s="26"/>
      <c r="BR6" s="26"/>
      <c r="BS6" s="27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J6"/>
      <c r="CK6"/>
      <c r="CL6"/>
      <c r="CM6"/>
    </row>
    <row r="7" spans="11:91" ht="16.5" customHeight="1" hidden="1">
      <c r="K7" s="65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5"/>
      <c r="AQ7" s="65"/>
      <c r="AR7" s="5"/>
      <c r="AS7" s="65"/>
      <c r="AT7" s="65"/>
      <c r="AU7" s="57"/>
      <c r="AV7" s="66"/>
      <c r="AW7" s="67"/>
      <c r="AX7" s="67"/>
      <c r="AY7" s="67"/>
      <c r="AZ7" s="24"/>
      <c r="BA7" s="53"/>
      <c r="BB7" s="53"/>
      <c r="BE7" s="65"/>
      <c r="BF7" s="68"/>
      <c r="BG7" s="27"/>
      <c r="BJ7" s="53"/>
      <c r="BK7" s="26"/>
      <c r="BL7" s="26"/>
      <c r="BO7" s="26"/>
      <c r="BP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J7"/>
      <c r="CK7"/>
      <c r="CL7"/>
      <c r="CM7"/>
    </row>
    <row r="8" spans="1:91" ht="30" customHeight="1">
      <c r="A8" s="300" t="s">
        <v>116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AP8"/>
      <c r="AQ8"/>
      <c r="AR8"/>
      <c r="AS8"/>
      <c r="AT8"/>
      <c r="AU8"/>
      <c r="AV8"/>
      <c r="AW8" t="s">
        <v>178</v>
      </c>
      <c r="AX8"/>
      <c r="AY8"/>
      <c r="AZ8"/>
      <c r="BA8" t="s">
        <v>179</v>
      </c>
      <c r="BB8"/>
      <c r="BC8"/>
      <c r="BD8"/>
      <c r="BE8" t="s">
        <v>112</v>
      </c>
      <c r="BF8"/>
      <c r="BG8"/>
      <c r="BH8"/>
      <c r="BI8"/>
      <c r="BJ8" t="s">
        <v>86</v>
      </c>
      <c r="BK8"/>
      <c r="BL8"/>
      <c r="BM8"/>
      <c r="BN8"/>
      <c r="BO8"/>
      <c r="BP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J8"/>
      <c r="CK8"/>
      <c r="CL8"/>
      <c r="CM8"/>
    </row>
    <row r="9" spans="1:69" s="18" customFormat="1" ht="92.25" customHeight="1">
      <c r="A9" s="17"/>
      <c r="B9" s="17"/>
      <c r="C9" s="301" t="s">
        <v>0</v>
      </c>
      <c r="D9" s="7" t="s">
        <v>35</v>
      </c>
      <c r="E9" s="7" t="s">
        <v>36</v>
      </c>
      <c r="F9" s="7" t="s">
        <v>37</v>
      </c>
      <c r="G9" s="7" t="s">
        <v>38</v>
      </c>
      <c r="H9" s="7" t="s">
        <v>42</v>
      </c>
      <c r="I9" s="8" t="s">
        <v>28</v>
      </c>
      <c r="J9" s="8" t="s">
        <v>29</v>
      </c>
      <c r="K9" s="8" t="s">
        <v>30</v>
      </c>
      <c r="L9" s="8" t="s">
        <v>180</v>
      </c>
      <c r="M9" s="8" t="s">
        <v>171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1" t="s">
        <v>43</v>
      </c>
      <c r="AQ9" s="21" t="s">
        <v>44</v>
      </c>
      <c r="AR9" s="21" t="s">
        <v>96</v>
      </c>
      <c r="AS9" s="21" t="s">
        <v>98</v>
      </c>
      <c r="AT9" s="21" t="s">
        <v>46</v>
      </c>
      <c r="AU9" s="21" t="s">
        <v>105</v>
      </c>
      <c r="AV9" s="21" t="s">
        <v>53</v>
      </c>
      <c r="AW9" s="70" t="s">
        <v>106</v>
      </c>
      <c r="AX9" s="71" t="s">
        <v>47</v>
      </c>
      <c r="AY9" s="80" t="s">
        <v>108</v>
      </c>
      <c r="BA9" s="76" t="s">
        <v>106</v>
      </c>
      <c r="BB9" s="77" t="s">
        <v>47</v>
      </c>
      <c r="BC9" s="86" t="s">
        <v>108</v>
      </c>
      <c r="BD9" s="91"/>
      <c r="BE9" s="98" t="s">
        <v>136</v>
      </c>
      <c r="BF9" s="148" t="s">
        <v>109</v>
      </c>
      <c r="BG9" s="99" t="s">
        <v>114</v>
      </c>
      <c r="BH9" s="100" t="s">
        <v>111</v>
      </c>
      <c r="BI9" s="89"/>
      <c r="BJ9" s="105" t="s">
        <v>92</v>
      </c>
      <c r="BK9" s="106" t="s">
        <v>110</v>
      </c>
      <c r="BL9" s="105" t="s">
        <v>115</v>
      </c>
      <c r="BM9" s="106" t="s">
        <v>94</v>
      </c>
      <c r="BN9" s="22"/>
      <c r="BO9" s="112" t="s">
        <v>93</v>
      </c>
      <c r="BP9" s="113" t="s">
        <v>113</v>
      </c>
      <c r="BQ9" s="113" t="s">
        <v>95</v>
      </c>
    </row>
    <row r="10" spans="1:91" ht="16.5" customHeight="1">
      <c r="A10" s="9" t="s">
        <v>33</v>
      </c>
      <c r="B10" s="9">
        <f>VLOOKUP(C10,'Input Data'!$C$2:$D$38,2,FALSE)</f>
        <v>2</v>
      </c>
      <c r="C10" s="9" t="s">
        <v>1</v>
      </c>
      <c r="D10" s="10">
        <v>3710000</v>
      </c>
      <c r="E10" s="10">
        <v>770000</v>
      </c>
      <c r="F10" s="10">
        <v>640000</v>
      </c>
      <c r="G10" s="10">
        <v>2300000</v>
      </c>
      <c r="H10" s="10">
        <f>J10*450</f>
        <v>784350</v>
      </c>
      <c r="I10" s="11">
        <v>379064</v>
      </c>
      <c r="J10" s="11">
        <v>1743</v>
      </c>
      <c r="K10" s="12">
        <v>877</v>
      </c>
      <c r="L10" s="12">
        <v>84</v>
      </c>
      <c r="M10" s="12">
        <f>(K10-L10)+(L10*7/12)</f>
        <v>842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23">
        <f>442*I10/5280</f>
        <v>31732.251515151514</v>
      </c>
      <c r="AQ10" s="23">
        <f>J10*17</f>
        <v>29631</v>
      </c>
      <c r="AR10" s="23">
        <f>39*K10</f>
        <v>34203</v>
      </c>
      <c r="AS10" s="23">
        <v>28800</v>
      </c>
      <c r="AT10" s="23">
        <f>(AP10+AQ10+AR10+AS10)*1.1</f>
        <v>136802.87666666668</v>
      </c>
      <c r="AU10" s="23">
        <f>AT10/12/($BE$3*M10)</f>
        <v>27.078954209553974</v>
      </c>
      <c r="AV10" s="24">
        <f aca="true" t="shared" si="0" ref="AV10:AV29">$AP$3*$AQ$3+$AR$3*$AT$3+$AS$3*$AU$3</f>
        <v>59</v>
      </c>
      <c r="AW10" s="72">
        <f>AT10/((AV10-$AW$3-$AP$3*$AX$3)*12)</f>
        <v>600.0126169590644</v>
      </c>
      <c r="AX10" s="73">
        <f>AW10/M10</f>
        <v>0.7126040581461572</v>
      </c>
      <c r="AY10" s="81">
        <f>(AV10-AU10-$AW$3-$AP$3*$AX$3)*M10*$BE$3*12</f>
        <v>-40814.87666666668</v>
      </c>
      <c r="BA10" s="78">
        <f>AT10/((AV10-(1-$AP$3)*$BA$3-$AP$3*$BB$3-$BC$3)*12)</f>
        <v>364.2249112531062</v>
      </c>
      <c r="BB10" s="79">
        <f>BA10/M10</f>
        <v>0.432571153507252</v>
      </c>
      <c r="BC10" s="85">
        <f>IF(M10*$BE$3&lt;=$AZ$3,M10*$BE$3*($AR$3*$AT$3+AS$3*$AU$3+$AP$3*$AQ$3-(1-$AP$3)*$BA$3-$AP$3*$BB$3-$BC$3)*12-AT10,IF(M10*$BE$3&lt;=$AZ$4,M10*$BE$3*($AR$3*$AT$3+AS$3*$AU$3+$AP$3*$AQ$3-(1-$AP$3)*$BA$4-$AP$3*$BB$4-$BC$4)*12-AT10,IF(M10*$BE$3&lt;=$AZ$5,M10*$BE$3*($AR$3*$AT$3+AS$3*$AU$3+$AP$3*$AQ$3-(1-$AP$3)*$BA$5-$AP$3*$BB$5-$BC$5)*12-AT10,IF(M10*$BE$3&lt;=$AZ$6,M10*$BE$3*($AR$3*$AT$3+AS$3*$AU$3+$AP$3*$AQ$3-(1-$AP$3)*$BA$6-$AP$3*$BB$6-$BC$6)*12-AT10))))</f>
        <v>21324.7233333333</v>
      </c>
      <c r="BE10" s="101">
        <f>0.03*(D10-F10-H10)</f>
        <v>68569.5</v>
      </c>
      <c r="BF10" s="55">
        <f>(BE10/(M10*$BE$3))/12</f>
        <v>13.572743467933492</v>
      </c>
      <c r="BG10" s="55">
        <f>AV10+BF10</f>
        <v>72.57274346793349</v>
      </c>
      <c r="BH10" s="102">
        <f>((BE10/'Assessed Value'!E18)*'Assessed Value'!G18)/12</f>
        <v>5.837082887580053</v>
      </c>
      <c r="BI10" s="84"/>
      <c r="BJ10" s="107">
        <f>'Debt Service'!K13</f>
        <v>163555.55555555556</v>
      </c>
      <c r="BK10" s="107">
        <f>BJ10/(12*$BE$3*M10)</f>
        <v>32.374417172516935</v>
      </c>
      <c r="BL10" s="107">
        <f>AV10+BK10</f>
        <v>91.37441717251693</v>
      </c>
      <c r="BM10" s="107">
        <f>(BJ10/12/K10)</f>
        <v>15.541196841082815</v>
      </c>
      <c r="BN10" s="24"/>
      <c r="BO10" s="58">
        <f>(((BJ10+BE10)/'Assessed Value'!E18)*'Assessed Value'!G18)/12</f>
        <v>19.759998097724242</v>
      </c>
      <c r="BP10" s="58">
        <f>AV10+BF10+BK10</f>
        <v>104.94716064045042</v>
      </c>
      <c r="BQ10" s="58">
        <f>AV10</f>
        <v>59</v>
      </c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J10"/>
      <c r="CK10"/>
      <c r="CL10"/>
      <c r="CM10"/>
    </row>
    <row r="11" spans="1:91" ht="16.5" customHeight="1">
      <c r="A11" s="9" t="s">
        <v>32</v>
      </c>
      <c r="B11" s="9">
        <f>VLOOKUP(C11,'Input Data'!$C$2:$D$38,2,FALSE)</f>
        <v>3</v>
      </c>
      <c r="C11" s="9" t="s">
        <v>2</v>
      </c>
      <c r="D11" s="10">
        <v>5900000</v>
      </c>
      <c r="E11" s="10">
        <v>1290000</v>
      </c>
      <c r="F11" s="10">
        <v>860000</v>
      </c>
      <c r="G11" s="10">
        <v>3750000</v>
      </c>
      <c r="H11" s="10">
        <f>J11*450</f>
        <v>1602000</v>
      </c>
      <c r="I11" s="11">
        <v>567536</v>
      </c>
      <c r="J11" s="11">
        <v>3560</v>
      </c>
      <c r="K11" s="12">
        <v>1728</v>
      </c>
      <c r="L11" s="12">
        <v>890</v>
      </c>
      <c r="M11" s="12">
        <f>(K11-L11)+(L11*7/12)</f>
        <v>1357.1666666666665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23">
        <f>442*I11/5280</f>
        <v>47509.642424242425</v>
      </c>
      <c r="AQ11" s="23">
        <f>J11*17</f>
        <v>60520</v>
      </c>
      <c r="AR11" s="23">
        <f>39*K11</f>
        <v>67392</v>
      </c>
      <c r="AS11" s="23">
        <v>28800</v>
      </c>
      <c r="AT11" s="23">
        <f>(AP11+AQ11+AR11+AS11)*1.1</f>
        <v>224643.8066666667</v>
      </c>
      <c r="AU11" s="23">
        <f>AT11/12/($BE$3*M11)</f>
        <v>27.587351917802618</v>
      </c>
      <c r="AV11" s="24">
        <f t="shared" si="0"/>
        <v>59</v>
      </c>
      <c r="AW11" s="72">
        <f>AT11/((AV11-$AW$3-$AP$3*$AX$3)*12)</f>
        <v>985.2798538011698</v>
      </c>
      <c r="AX11" s="73">
        <f>AW11/M11</f>
        <v>0.7259829452053321</v>
      </c>
      <c r="AY11" s="81">
        <f>((M11*$BE$3*$AR$3*$AT$3+M11*$BE$3*$AS$3*$AU$3+M11*$BE$3*$AP$3*$AQ$3)*12)-((M11*BE3*AW3+M11*BE3*AP3*AX3)*12+AT11)</f>
        <v>-69926.80666666664</v>
      </c>
      <c r="BA11" s="78">
        <f>AT11/((AV11-(1-$AP$3)*$BA$3-$AP$3*$BB$3-$BC$3)*12)</f>
        <v>598.0932019879306</v>
      </c>
      <c r="BB11" s="79">
        <f>BA11/M11</f>
        <v>0.4406925226486042</v>
      </c>
      <c r="BC11" s="85">
        <f>IF(M11*$BE$3&lt;=$AZ$3,M11*$BE$3*($AR$3*$AT$3+AS$3*$AU$3+$AP$3*$AQ$3-(1-$AP$3)*$BA$3-$AP$3*$BB$3-$BC$3)*12-AT11,IF(M11*$BE$3&lt;=$AZ$4,M11*$BE$3*($AR$3*$AT$3+AS$3*$AU$3+$AP$3*$AQ$3-(1-$AP$3)*$BA$4-$AP$3*$BB$4-$BC$4)*12-AT11,IF(M11*$BE$3&lt;=$AZ$5,M11*$BE$3*($AR$3*$AT$3+AS$3*$AU$3+$AP$3*$AQ$3-(1-$AP$3)*$BA$5-$AP$3*$BB$5-$BC$5)*12-AT11,IF(M11*$BE$3&lt;=$AZ$6,M11*$BE$3*($AR$3*$AT$3+AS$3*$AU$3+$AP$3*$AQ$3-(1-$AP$3)*$BA$6-$AP$3*$BB$6-$BC$6)*12-AT11))))</f>
        <v>30232.093333333265</v>
      </c>
      <c r="BE11" s="101">
        <f>0.03*(D11-F11-H11)</f>
        <v>103140</v>
      </c>
      <c r="BF11" s="55">
        <f>(BE11/(M11*$BE$3))/12</f>
        <v>12.666093577305661</v>
      </c>
      <c r="BG11" s="55">
        <f>AV11+BF11</f>
        <v>71.66609357730566</v>
      </c>
      <c r="BH11" s="102">
        <f>((BE11/'Assessed Value'!E3)*'Assessed Value'!G3)/12</f>
        <v>4.490974551004852</v>
      </c>
      <c r="BI11" s="84"/>
      <c r="BJ11" s="107">
        <f>'Debt Service'!K21</f>
        <v>266666.6666666667</v>
      </c>
      <c r="BK11" s="107">
        <f>BJ11/(12*$BE$3*M11)</f>
        <v>32.747963486020716</v>
      </c>
      <c r="BL11" s="107">
        <f>AV11+BK11</f>
        <v>91.74796348602072</v>
      </c>
      <c r="BM11" s="107">
        <f>((BJ11/'Assessed Value'!E3)*'Assessed Value'!G3)/12</f>
        <v>11.611336179962128</v>
      </c>
      <c r="BN11" s="24"/>
      <c r="BO11" s="58">
        <f>(((BJ11+BE11)/'Assessed Value'!E3)*'Assessed Value'!G3)/12</f>
        <v>16.10231073096698</v>
      </c>
      <c r="BP11" s="58">
        <f>AV11+BF11+BK11</f>
        <v>104.41405706332637</v>
      </c>
      <c r="BQ11" s="58">
        <f>AV11</f>
        <v>59</v>
      </c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J11"/>
      <c r="CK11"/>
      <c r="CL11"/>
      <c r="CM11"/>
    </row>
    <row r="12" spans="1:91" ht="16.5" customHeight="1">
      <c r="A12" s="9" t="s">
        <v>32</v>
      </c>
      <c r="B12" s="9">
        <f>VLOOKUP(C12,'Input Data'!$C$2:$D$38,2,FALSE)</f>
        <v>4</v>
      </c>
      <c r="C12" s="9" t="s">
        <v>3</v>
      </c>
      <c r="D12" s="10">
        <v>2800000</v>
      </c>
      <c r="E12" s="10">
        <v>560000</v>
      </c>
      <c r="F12" s="10">
        <v>480000</v>
      </c>
      <c r="G12" s="10">
        <v>1760000</v>
      </c>
      <c r="H12" s="10">
        <f aca="true" t="shared" si="1" ref="H12:H25">J12*450</f>
        <v>623250</v>
      </c>
      <c r="I12" s="11">
        <v>263956</v>
      </c>
      <c r="J12" s="11">
        <v>1385</v>
      </c>
      <c r="K12" s="12">
        <v>574</v>
      </c>
      <c r="L12" s="12">
        <v>58</v>
      </c>
      <c r="M12" s="12">
        <f aca="true" t="shared" si="2" ref="M12:M26">(K12-L12)+(L12*7/12)</f>
        <v>549.8333333333334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23">
        <f aca="true" t="shared" si="3" ref="AP12:AP25">442*I12/5280</f>
        <v>22096.316666666666</v>
      </c>
      <c r="AQ12" s="23">
        <f aca="true" t="shared" si="4" ref="AQ12:AQ25">J12*17</f>
        <v>23545</v>
      </c>
      <c r="AR12" s="23">
        <f aca="true" t="shared" si="5" ref="AR12:AR25">39*K12</f>
        <v>22386</v>
      </c>
      <c r="AS12" s="23">
        <v>28800</v>
      </c>
      <c r="AT12" s="23">
        <f aca="true" t="shared" si="6" ref="AT12:AT26">(AP12+AQ12+AR12+AS12)*1.1</f>
        <v>106510.04833333334</v>
      </c>
      <c r="AU12" s="23">
        <f aca="true" t="shared" si="7" ref="AU12:AU26">AT12/12/($BE$3*M12)</f>
        <v>32.285555723956755</v>
      </c>
      <c r="AV12" s="24">
        <f t="shared" si="0"/>
        <v>59</v>
      </c>
      <c r="AW12" s="72">
        <f aca="true" t="shared" si="8" ref="AW12:AW26">AT12/((AV12-$AW$3-$AP$3*$AX$3)*12)</f>
        <v>467.1493347953217</v>
      </c>
      <c r="AX12" s="73">
        <f aca="true" t="shared" si="9" ref="AX12:AX26">AW12/M12</f>
        <v>0.8496198874725462</v>
      </c>
      <c r="AY12" s="81">
        <f aca="true" t="shared" si="10" ref="AY12:AY26">(AV12-AU12-$AW$3-$AP$3*$AX$3)*M12*$BE$3*12</f>
        <v>-43829.04833333333</v>
      </c>
      <c r="BA12" s="78">
        <f aca="true" t="shared" si="11" ref="BA12:BA26">AT12/((AV12-(1-$AP$3)*$BA$3-$AP$3*$BB$3-$BC$3)*12)</f>
        <v>283.573078629748</v>
      </c>
      <c r="BB12" s="79">
        <f aca="true" t="shared" si="12" ref="BB12:BB26">BA12/M12</f>
        <v>0.5157437016606511</v>
      </c>
      <c r="BC12" s="85">
        <f aca="true" t="shared" si="13" ref="BC12:BC26">IF(M12*$BE$3&lt;=$AZ$3,M12*$BE$3*($AR$3*$AT$3+AS$3*$AU$3+$AP$3*$AQ$3-(1-$AP$3)*$BA$3-$AP$3*$BB$3-$BC$3)*12-AT12,IF(M12*$BE$3&lt;=$AZ$4,M12*$BE$3*($AR$3*$AT$3+AS$3*$AU$3+$AP$3*$AQ$3-(1-$AP$3)*$BA$4-$AP$3*$BB$4-$BC$4)*12-AT12,IF(M12*$BE$3&lt;=$AZ$5,M12*$BE$3*($AR$3*$AT$3+AS$3*$AU$3+$AP$3*$AQ$3-(1-$AP$3)*$BA$5-$AP$3*$BB$5-$BC$5)*12-AT12,IF(M12*$BE$3&lt;=$AZ$6,M12*$BE$3*($AR$3*$AT$3+AS$3*$AU$3+$AP$3*$AQ$3-(1-$AP$3)*$BA$6-$AP$3*$BB$6-$BC$6)*12-AT12))))</f>
        <v>-3251.3483333333425</v>
      </c>
      <c r="BE12" s="101">
        <f aca="true" t="shared" si="14" ref="BE12:BE26">0.03*(D12-F12-H12)</f>
        <v>50902.5</v>
      </c>
      <c r="BF12" s="55">
        <f aca="true" t="shared" si="15" ref="BF12:BF26">(BE12/(M12*$BE$3))/12</f>
        <v>15.429675659290693</v>
      </c>
      <c r="BG12" s="55">
        <f aca="true" t="shared" si="16" ref="BG12:BG26">AV12+BF12</f>
        <v>74.4296756592907</v>
      </c>
      <c r="BH12" s="102">
        <f>((BE12/'Assessed Value'!E4)*'Assessed Value'!G4)/12</f>
        <v>5.896228843450199</v>
      </c>
      <c r="BI12" s="84"/>
      <c r="BJ12" s="107">
        <f>'Debt Service'!K29</f>
        <v>125155.55555555556</v>
      </c>
      <c r="BK12" s="107">
        <f aca="true" t="shared" si="17" ref="BK12:BK26">BJ12/(12*$BE$3*M12)</f>
        <v>37.937422114445454</v>
      </c>
      <c r="BL12" s="107">
        <f aca="true" t="shared" si="18" ref="BL12:BL26">AV12+BK12</f>
        <v>96.93742211444545</v>
      </c>
      <c r="BM12" s="107">
        <f>((BJ12/'Assessed Value'!E4)*'Assessed Value'!G4)/12</f>
        <v>14.497240736401956</v>
      </c>
      <c r="BN12" s="24"/>
      <c r="BO12" s="58">
        <f>(((BJ12+BE12)/'Assessed Value'!E4)*'Assessed Value'!G4)/12</f>
        <v>20.393469579852155</v>
      </c>
      <c r="BP12" s="58">
        <f aca="true" t="shared" si="19" ref="BP12:BP26">AV12+BF12+BK12</f>
        <v>112.36709777373615</v>
      </c>
      <c r="BQ12" s="58">
        <f aca="true" t="shared" si="20" ref="BQ12:BQ26">AV12</f>
        <v>59</v>
      </c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J12"/>
      <c r="CK12"/>
      <c r="CL12"/>
      <c r="CM12"/>
    </row>
    <row r="13" spans="1:91" ht="16.5" customHeight="1">
      <c r="A13" s="9" t="s">
        <v>32</v>
      </c>
      <c r="B13" s="9">
        <f>VLOOKUP(C13,'Input Data'!$C$2:$D$38,2,FALSE)</f>
        <v>5</v>
      </c>
      <c r="C13" s="9" t="s">
        <v>4</v>
      </c>
      <c r="D13" s="10">
        <v>2670000</v>
      </c>
      <c r="E13" s="10">
        <v>530000</v>
      </c>
      <c r="F13" s="10">
        <v>430000</v>
      </c>
      <c r="G13" s="10">
        <v>1710000</v>
      </c>
      <c r="H13" s="10">
        <f t="shared" si="1"/>
        <v>802350</v>
      </c>
      <c r="I13" s="11">
        <v>292591</v>
      </c>
      <c r="J13" s="11">
        <v>1783</v>
      </c>
      <c r="K13" s="12">
        <v>681</v>
      </c>
      <c r="L13" s="12">
        <v>66</v>
      </c>
      <c r="M13" s="12">
        <f t="shared" si="2"/>
        <v>653.5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23">
        <f t="shared" si="3"/>
        <v>24493.413257575758</v>
      </c>
      <c r="AQ13" s="23">
        <f t="shared" si="4"/>
        <v>30311</v>
      </c>
      <c r="AR13" s="23">
        <f t="shared" si="5"/>
        <v>26559</v>
      </c>
      <c r="AS13" s="23">
        <v>28800</v>
      </c>
      <c r="AT13" s="23">
        <f t="shared" si="6"/>
        <v>121179.75458333334</v>
      </c>
      <c r="AU13" s="23">
        <f t="shared" si="7"/>
        <v>30.905318689960044</v>
      </c>
      <c r="AV13" s="24">
        <f t="shared" si="0"/>
        <v>59</v>
      </c>
      <c r="AW13" s="72">
        <f t="shared" si="8"/>
        <v>531.4901516812865</v>
      </c>
      <c r="AX13" s="73">
        <f t="shared" si="9"/>
        <v>0.8132978602621064</v>
      </c>
      <c r="AY13" s="81">
        <f t="shared" si="10"/>
        <v>-46680.754583333335</v>
      </c>
      <c r="BA13" s="78">
        <f t="shared" si="11"/>
        <v>322.62980453496635</v>
      </c>
      <c r="BB13" s="79">
        <f t="shared" si="12"/>
        <v>0.4936951867405759</v>
      </c>
      <c r="BC13" s="85">
        <f t="shared" si="13"/>
        <v>1547.545416666646</v>
      </c>
      <c r="BE13" s="101">
        <f t="shared" si="14"/>
        <v>43129.5</v>
      </c>
      <c r="BF13" s="55">
        <f t="shared" si="15"/>
        <v>10.999617444529456</v>
      </c>
      <c r="BG13" s="55">
        <f t="shared" si="16"/>
        <v>69.99961744452946</v>
      </c>
      <c r="BH13" s="102">
        <f>((BE13/'Assessed Value'!E5)*'Assessed Value'!G5)/12</f>
        <v>4.484586805834237</v>
      </c>
      <c r="BI13" s="84"/>
      <c r="BJ13" s="107">
        <f>'Debt Service'!K37</f>
        <v>121600</v>
      </c>
      <c r="BK13" s="107">
        <f t="shared" si="17"/>
        <v>31.012496812037746</v>
      </c>
      <c r="BL13" s="107">
        <f t="shared" si="18"/>
        <v>90.01249681203774</v>
      </c>
      <c r="BM13" s="107">
        <f>((BJ13/'Assessed Value'!E5)*'Assessed Value'!G5)/12</f>
        <v>12.643915547118405</v>
      </c>
      <c r="BN13" s="24"/>
      <c r="BO13" s="58">
        <f>(((BJ13+BE13)/'Assessed Value'!E5)*'Assessed Value'!G5)/12</f>
        <v>17.12850235295264</v>
      </c>
      <c r="BP13" s="58">
        <f t="shared" si="19"/>
        <v>101.0121142565672</v>
      </c>
      <c r="BQ13" s="58">
        <f t="shared" si="20"/>
        <v>59</v>
      </c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J13"/>
      <c r="CK13"/>
      <c r="CL13"/>
      <c r="CM13"/>
    </row>
    <row r="14" spans="1:91" ht="16.5" customHeight="1">
      <c r="A14" s="9" t="s">
        <v>32</v>
      </c>
      <c r="B14" s="9">
        <f>VLOOKUP(C14,'Input Data'!$C$2:$D$38,2,FALSE)</f>
        <v>6</v>
      </c>
      <c r="C14" s="9" t="s">
        <v>5</v>
      </c>
      <c r="D14" s="10">
        <v>2400000</v>
      </c>
      <c r="E14" s="10">
        <v>500000</v>
      </c>
      <c r="F14" s="10">
        <v>390000</v>
      </c>
      <c r="G14" s="10">
        <v>1510000</v>
      </c>
      <c r="H14" s="10">
        <f t="shared" si="1"/>
        <v>594000</v>
      </c>
      <c r="I14" s="11">
        <v>254954</v>
      </c>
      <c r="J14" s="11">
        <v>1320</v>
      </c>
      <c r="K14" s="12">
        <v>591</v>
      </c>
      <c r="L14" s="12">
        <v>67</v>
      </c>
      <c r="M14" s="12">
        <f t="shared" si="2"/>
        <v>563.0833333333334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23">
        <f t="shared" si="3"/>
        <v>21342.74015151515</v>
      </c>
      <c r="AQ14" s="23">
        <f t="shared" si="4"/>
        <v>22440</v>
      </c>
      <c r="AR14" s="23">
        <f t="shared" si="5"/>
        <v>23049</v>
      </c>
      <c r="AS14" s="23">
        <v>28800</v>
      </c>
      <c r="AT14" s="23">
        <f t="shared" si="6"/>
        <v>105194.91416666667</v>
      </c>
      <c r="AU14" s="23">
        <f t="shared" si="7"/>
        <v>31.13657367668097</v>
      </c>
      <c r="AV14" s="24">
        <f t="shared" si="0"/>
        <v>59</v>
      </c>
      <c r="AW14" s="72">
        <f t="shared" si="8"/>
        <v>461.38120248538013</v>
      </c>
      <c r="AX14" s="73">
        <f t="shared" si="9"/>
        <v>0.8193835178073939</v>
      </c>
      <c r="AY14" s="81">
        <f t="shared" si="10"/>
        <v>-41003.41416666666</v>
      </c>
      <c r="BA14" s="78">
        <f t="shared" si="11"/>
        <v>280.0716564607739</v>
      </c>
      <c r="BB14" s="79">
        <f t="shared" si="12"/>
        <v>0.4973893558575236</v>
      </c>
      <c r="BC14" s="85">
        <f t="shared" si="13"/>
        <v>552.1358333333192</v>
      </c>
      <c r="BE14" s="101">
        <f t="shared" si="14"/>
        <v>42480</v>
      </c>
      <c r="BF14" s="55">
        <f t="shared" si="15"/>
        <v>12.57362734941542</v>
      </c>
      <c r="BG14" s="55">
        <f t="shared" si="16"/>
        <v>71.57362734941542</v>
      </c>
      <c r="BH14" s="102">
        <f>((BE14/'Assessed Value'!E6)*'Assessed Value'!G6)/12</f>
        <v>5.71634761497146</v>
      </c>
      <c r="BI14" s="84"/>
      <c r="BJ14" s="107">
        <f>'Debt Service'!K45</f>
        <v>107377.77777777778</v>
      </c>
      <c r="BK14" s="107">
        <f t="shared" si="17"/>
        <v>31.782678045812574</v>
      </c>
      <c r="BL14" s="107">
        <f t="shared" si="18"/>
        <v>90.78267804581257</v>
      </c>
      <c r="BM14" s="107">
        <f>((BJ14/'Assessed Value'!E6)*'Assessed Value'!G6)/12</f>
        <v>14.4493574364627</v>
      </c>
      <c r="BN14" s="24"/>
      <c r="BO14" s="58">
        <f>(((BJ14+BE14)/'Assessed Value'!E6)*'Assessed Value'!G6)/12</f>
        <v>20.165705051434163</v>
      </c>
      <c r="BP14" s="58">
        <f t="shared" si="19"/>
        <v>103.35630539522799</v>
      </c>
      <c r="BQ14" s="58">
        <f t="shared" si="20"/>
        <v>59</v>
      </c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J14"/>
      <c r="CK14"/>
      <c r="CL14"/>
      <c r="CM14"/>
    </row>
    <row r="15" spans="1:91" ht="16.5" customHeight="1">
      <c r="A15" s="9" t="s">
        <v>33</v>
      </c>
      <c r="B15" s="9">
        <f>VLOOKUP(C15,'Input Data'!$C$2:$D$38,2,FALSE)</f>
        <v>8</v>
      </c>
      <c r="C15" s="9" t="s">
        <v>7</v>
      </c>
      <c r="D15" s="10">
        <v>2210000</v>
      </c>
      <c r="E15" s="10">
        <v>450000</v>
      </c>
      <c r="F15" s="10">
        <v>390000</v>
      </c>
      <c r="G15" s="10">
        <v>1370000</v>
      </c>
      <c r="H15" s="10">
        <f>J15*450</f>
        <v>573750</v>
      </c>
      <c r="I15" s="11">
        <v>265780</v>
      </c>
      <c r="J15" s="11">
        <v>1275</v>
      </c>
      <c r="K15" s="12">
        <v>485</v>
      </c>
      <c r="L15" s="12">
        <v>59</v>
      </c>
      <c r="M15" s="12">
        <f>(K15-L15)+(L15*7/12)</f>
        <v>460.4166666666667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23">
        <f>442*I15/5280</f>
        <v>22249.007575757576</v>
      </c>
      <c r="AQ15" s="23">
        <f>J15*17</f>
        <v>21675</v>
      </c>
      <c r="AR15" s="23">
        <f>39*K15</f>
        <v>18915</v>
      </c>
      <c r="AS15" s="23">
        <v>28800</v>
      </c>
      <c r="AT15" s="23">
        <f>(AP15+AQ15+AR15+AS15)*1.1</f>
        <v>100802.90833333334</v>
      </c>
      <c r="AU15" s="23">
        <f>AT15/12/($BE$3*M15)</f>
        <v>36.48974057315234</v>
      </c>
      <c r="AV15" s="24">
        <f t="shared" si="0"/>
        <v>59</v>
      </c>
      <c r="AW15" s="72">
        <f>AT15/((AV15-$AW$3-$AP$3*$AX$3)*12)</f>
        <v>442.118019005848</v>
      </c>
      <c r="AX15" s="73">
        <f>AW15/M15</f>
        <v>0.96025633087243</v>
      </c>
      <c r="AY15" s="81">
        <f>(AV15-AU15-$AW$3-$AP$3*$AX$3)*M15*$BE$3*12</f>
        <v>-48315.40833333334</v>
      </c>
      <c r="BA15" s="78">
        <f>AT15/((AV15-(1-$AP$3)*$BA$3-$AP$3*$BB$3-$BC$3)*12)</f>
        <v>268.37835019524323</v>
      </c>
      <c r="BB15" s="79">
        <f>BA15/M15</f>
        <v>0.5829032040439671</v>
      </c>
      <c r="BC15" s="85">
        <f>IF(M15*$BE$3&lt;=$AZ$3,M15*$BE$3*($AR$3*$AT$3+AS$3*$AU$3+$AP$3*$AQ$3-(1-$AP$3)*$BA$3-$AP$3*$BB$3-$BC$3)*12-AT15,IF(M15*$BE$3&lt;=$AZ$4,M15*$BE$3*($AR$3*$AT$3+AS$3*$AU$3+$AP$3*$AQ$3-(1-$AP$3)*$BA$4-$AP$3*$BB$4-$BC$4)*12-AT15,IF(M15*$BE$3&lt;=$AZ$5,M15*$BE$3*($AR$3*$AT$3+AS$3*$AU$3+$AP$3*$AQ$3-(1-$AP$3)*$BA$5-$AP$3*$BB$5-$BC$5)*12-AT15,IF(M15*$BE$3&lt;=$AZ$6,M15*$BE$3*($AR$3*$AT$3+AS$3*$AU$3+$AP$3*$AQ$3-(1-$AP$3)*$BA$6-$AP$3*$BB$6-$BC$6)*12-AT15))))</f>
        <v>-14336.65833333334</v>
      </c>
      <c r="BE15" s="101">
        <f>0.03*(D15-F15-H15)</f>
        <v>37387.5</v>
      </c>
      <c r="BF15" s="55">
        <f>(BE15/(M15*$BE$3))/12</f>
        <v>13.53393665158371</v>
      </c>
      <c r="BG15" s="55">
        <f>AV15+BF15</f>
        <v>72.53393665158372</v>
      </c>
      <c r="BH15" s="102">
        <f>((BE15/'Assessed Value'!E19)*'Assessed Value'!G19)/12</f>
        <v>5.656791266986651</v>
      </c>
      <c r="BI15" s="84"/>
      <c r="BJ15" s="107">
        <f>'Debt Service'!K61</f>
        <v>97422.22222222222</v>
      </c>
      <c r="BK15" s="107">
        <f>BJ15/(12*$BE$3*M15)</f>
        <v>35.265962795374556</v>
      </c>
      <c r="BL15" s="107">
        <f>AV15+BK15</f>
        <v>94.26596279537455</v>
      </c>
      <c r="BM15" s="107">
        <f>(BJ15/12/K15)</f>
        <v>16.739213440244367</v>
      </c>
      <c r="BN15" s="24"/>
      <c r="BO15" s="58">
        <f>(((BJ15+BE15)/'Assessed Value'!E19)*'Assessed Value'!G19)/12</f>
        <v>20.396936392418933</v>
      </c>
      <c r="BP15" s="58">
        <f>AV15+BF15+BK15</f>
        <v>107.79989944695828</v>
      </c>
      <c r="BQ15" s="58">
        <f>AV15</f>
        <v>59</v>
      </c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J15"/>
      <c r="CK15"/>
      <c r="CL15"/>
      <c r="CM15"/>
    </row>
    <row r="16" spans="1:91" ht="16.5" customHeight="1">
      <c r="A16" s="9" t="s">
        <v>32</v>
      </c>
      <c r="B16" s="9">
        <f>VLOOKUP(C16,'Input Data'!$C$2:$D$38,2,FALSE)</f>
        <v>11</v>
      </c>
      <c r="C16" s="9" t="s">
        <v>9</v>
      </c>
      <c r="D16" s="10">
        <v>2150000</v>
      </c>
      <c r="E16" s="10">
        <v>450000</v>
      </c>
      <c r="F16" s="10">
        <v>320000</v>
      </c>
      <c r="G16" s="10">
        <v>1380000</v>
      </c>
      <c r="H16" s="10">
        <f t="shared" si="1"/>
        <v>595800</v>
      </c>
      <c r="I16" s="11">
        <v>211266</v>
      </c>
      <c r="J16" s="11">
        <v>1324</v>
      </c>
      <c r="K16" s="12">
        <v>598</v>
      </c>
      <c r="L16" s="12">
        <v>158</v>
      </c>
      <c r="M16" s="12">
        <f t="shared" si="2"/>
        <v>532.1666666666666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23">
        <f t="shared" si="3"/>
        <v>17685.525</v>
      </c>
      <c r="AQ16" s="23">
        <f t="shared" si="4"/>
        <v>22508</v>
      </c>
      <c r="AR16" s="23">
        <f t="shared" si="5"/>
        <v>23322</v>
      </c>
      <c r="AS16" s="23">
        <v>28800</v>
      </c>
      <c r="AT16" s="23">
        <f t="shared" si="6"/>
        <v>101547.0775</v>
      </c>
      <c r="AU16" s="23">
        <f t="shared" si="7"/>
        <v>31.803030848731602</v>
      </c>
      <c r="AV16" s="24">
        <f t="shared" si="0"/>
        <v>59</v>
      </c>
      <c r="AW16" s="72">
        <f t="shared" si="8"/>
        <v>445.38191885964915</v>
      </c>
      <c r="AX16" s="73">
        <f t="shared" si="9"/>
        <v>0.8369218644403054</v>
      </c>
      <c r="AY16" s="81">
        <f t="shared" si="10"/>
        <v>-40880.0775</v>
      </c>
      <c r="BA16" s="78">
        <f t="shared" si="11"/>
        <v>270.35963125665603</v>
      </c>
      <c r="BB16" s="79">
        <f t="shared" si="12"/>
        <v>0.5080356365612078</v>
      </c>
      <c r="BC16" s="85">
        <f t="shared" si="13"/>
        <v>-1606.1775000000052</v>
      </c>
      <c r="BE16" s="101">
        <f t="shared" si="14"/>
        <v>37026</v>
      </c>
      <c r="BF16" s="55">
        <f t="shared" si="15"/>
        <v>11.595991230817413</v>
      </c>
      <c r="BG16" s="55">
        <f t="shared" si="16"/>
        <v>70.59599123081742</v>
      </c>
      <c r="BH16" s="102">
        <f>((BE16/'Assessed Value'!E7)*'Assessed Value'!G7)/12</f>
        <v>4.84915780058827</v>
      </c>
      <c r="BI16" s="84"/>
      <c r="BJ16" s="107">
        <f>'Debt Service'!K77</f>
        <v>98133.33333333334</v>
      </c>
      <c r="BK16" s="107">
        <f t="shared" si="17"/>
        <v>30.733897066499637</v>
      </c>
      <c r="BL16" s="107">
        <f t="shared" si="18"/>
        <v>89.73389706649964</v>
      </c>
      <c r="BM16" s="107">
        <f>((BJ16/'Assessed Value'!E7)*'Assessed Value'!G7)/12</f>
        <v>12.85215845165728</v>
      </c>
      <c r="BN16" s="24"/>
      <c r="BO16" s="58">
        <f>(((BJ16+BE16)/'Assessed Value'!E7)*'Assessed Value'!G7)/12</f>
        <v>17.70131625224555</v>
      </c>
      <c r="BP16" s="58">
        <f t="shared" si="19"/>
        <v>101.32988829731705</v>
      </c>
      <c r="BQ16" s="58">
        <f t="shared" si="20"/>
        <v>59</v>
      </c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J16"/>
      <c r="CK16"/>
      <c r="CL16"/>
      <c r="CM16"/>
    </row>
    <row r="17" spans="1:91" ht="16.5" customHeight="1">
      <c r="A17" s="9" t="s">
        <v>32</v>
      </c>
      <c r="B17" s="9">
        <f>VLOOKUP(C17,'Input Data'!$C$2:$D$38,2,FALSE)</f>
        <v>13</v>
      </c>
      <c r="C17" s="9" t="s">
        <v>10</v>
      </c>
      <c r="D17" s="10">
        <v>2240000</v>
      </c>
      <c r="E17" s="10">
        <v>440000</v>
      </c>
      <c r="F17" s="10">
        <v>380000</v>
      </c>
      <c r="G17" s="10">
        <v>1420000</v>
      </c>
      <c r="H17" s="10">
        <f t="shared" si="1"/>
        <v>703350</v>
      </c>
      <c r="I17" s="11">
        <v>271827</v>
      </c>
      <c r="J17" s="11">
        <v>1563</v>
      </c>
      <c r="K17" s="12">
        <v>402</v>
      </c>
      <c r="L17" s="12">
        <v>70</v>
      </c>
      <c r="M17" s="12">
        <f t="shared" si="2"/>
        <v>372.8333333333333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23">
        <f t="shared" si="3"/>
        <v>22755.21477272727</v>
      </c>
      <c r="AQ17" s="23">
        <f t="shared" si="4"/>
        <v>26571</v>
      </c>
      <c r="AR17" s="23">
        <f t="shared" si="5"/>
        <v>15678</v>
      </c>
      <c r="AS17" s="23">
        <v>28800</v>
      </c>
      <c r="AT17" s="23">
        <f t="shared" si="6"/>
        <v>103184.63625</v>
      </c>
      <c r="AU17" s="23">
        <f t="shared" si="7"/>
        <v>46.12634611086276</v>
      </c>
      <c r="AV17" s="24">
        <f t="shared" si="0"/>
        <v>59</v>
      </c>
      <c r="AW17" s="72">
        <f t="shared" si="8"/>
        <v>452.56419407894737</v>
      </c>
      <c r="AX17" s="73">
        <f t="shared" si="9"/>
        <v>1.213851213443757</v>
      </c>
      <c r="AY17" s="81">
        <f t="shared" si="10"/>
        <v>-60681.636249999996</v>
      </c>
      <c r="BA17" s="78">
        <f t="shared" si="11"/>
        <v>274.7194788338658</v>
      </c>
      <c r="BB17" s="79">
        <f t="shared" si="12"/>
        <v>0.7368425896303956</v>
      </c>
      <c r="BC17" s="85">
        <f t="shared" si="13"/>
        <v>-33166.536250000005</v>
      </c>
      <c r="BE17" s="101">
        <f t="shared" si="14"/>
        <v>34699.5</v>
      </c>
      <c r="BF17" s="55">
        <f t="shared" si="15"/>
        <v>15.511622708985248</v>
      </c>
      <c r="BG17" s="55">
        <f t="shared" si="16"/>
        <v>74.51162270898524</v>
      </c>
      <c r="BH17" s="102">
        <f>((BE17/'Assessed Value'!E8)*'Assessed Value'!G8)/12</f>
        <v>3.7464500394870863</v>
      </c>
      <c r="BI17" s="84"/>
      <c r="BJ17" s="107">
        <f>'Debt Service'!K85</f>
        <v>100977.77777777778</v>
      </c>
      <c r="BK17" s="107">
        <f t="shared" si="17"/>
        <v>45.139820195698604</v>
      </c>
      <c r="BL17" s="107">
        <f t="shared" si="18"/>
        <v>104.1398201956986</v>
      </c>
      <c r="BM17" s="107">
        <f>((BJ17/'Assessed Value'!E8)*'Assessed Value'!G8)/12</f>
        <v>10.902410684386629</v>
      </c>
      <c r="BN17" s="24"/>
      <c r="BO17" s="58">
        <f>(((BJ17+BE17)/'Assessed Value'!E8)*'Assessed Value'!G8)/12</f>
        <v>14.648860723873716</v>
      </c>
      <c r="BP17" s="58">
        <f t="shared" si="19"/>
        <v>119.65144290468385</v>
      </c>
      <c r="BQ17" s="58">
        <f t="shared" si="20"/>
        <v>59</v>
      </c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J17"/>
      <c r="CK17"/>
      <c r="CL17"/>
      <c r="CM17"/>
    </row>
    <row r="18" spans="1:91" ht="16.5" customHeight="1">
      <c r="A18" s="9" t="s">
        <v>32</v>
      </c>
      <c r="B18" s="9">
        <f>VLOOKUP(C18,'Input Data'!$C$2:$D$38,2,FALSE)</f>
        <v>19</v>
      </c>
      <c r="C18" s="9" t="s">
        <v>13</v>
      </c>
      <c r="D18" s="10">
        <v>700000</v>
      </c>
      <c r="E18" s="10">
        <v>150000</v>
      </c>
      <c r="F18" s="10">
        <v>130000</v>
      </c>
      <c r="G18" s="10">
        <v>420000</v>
      </c>
      <c r="H18" s="10">
        <f t="shared" si="1"/>
        <v>102600</v>
      </c>
      <c r="I18" s="11">
        <v>53093</v>
      </c>
      <c r="J18" s="11">
        <v>228</v>
      </c>
      <c r="K18" s="12">
        <v>112</v>
      </c>
      <c r="L18" s="12">
        <v>8</v>
      </c>
      <c r="M18" s="12">
        <f t="shared" si="2"/>
        <v>108.66666666666667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23">
        <f t="shared" si="3"/>
        <v>4444.527651515152</v>
      </c>
      <c r="AQ18" s="23">
        <f t="shared" si="4"/>
        <v>3876</v>
      </c>
      <c r="AR18" s="23">
        <f t="shared" si="5"/>
        <v>4368</v>
      </c>
      <c r="AS18" s="23">
        <v>28800</v>
      </c>
      <c r="AT18" s="23">
        <f t="shared" si="6"/>
        <v>45637.38041666667</v>
      </c>
      <c r="AU18" s="23">
        <f t="shared" si="7"/>
        <v>69.99598223415133</v>
      </c>
      <c r="AV18" s="24">
        <f t="shared" si="0"/>
        <v>59</v>
      </c>
      <c r="AW18" s="72">
        <f t="shared" si="8"/>
        <v>200.16394919590644</v>
      </c>
      <c r="AX18" s="73">
        <f t="shared" si="9"/>
        <v>1.8419995324776666</v>
      </c>
      <c r="AY18" s="81">
        <f t="shared" si="10"/>
        <v>-33249.38041666667</v>
      </c>
      <c r="BA18" s="78">
        <f t="shared" si="11"/>
        <v>121.50527267483139</v>
      </c>
      <c r="BB18" s="79">
        <f t="shared" si="12"/>
        <v>1.1181466810567304</v>
      </c>
      <c r="BC18" s="85">
        <f t="shared" si="13"/>
        <v>-25229.78041666667</v>
      </c>
      <c r="BE18" s="101">
        <f t="shared" si="14"/>
        <v>14022</v>
      </c>
      <c r="BF18" s="55">
        <f t="shared" si="15"/>
        <v>21.50613496932515</v>
      </c>
      <c r="BG18" s="55">
        <f t="shared" si="16"/>
        <v>80.50613496932515</v>
      </c>
      <c r="BH18" s="102">
        <f>((BE18/'Assessed Value'!E9)*'Assessed Value'!G9)/12</f>
        <v>8.310021837671865</v>
      </c>
      <c r="BI18" s="84"/>
      <c r="BJ18" s="107">
        <f>'Debt Service'!K109</f>
        <v>29866.666666666668</v>
      </c>
      <c r="BK18" s="107">
        <f t="shared" si="17"/>
        <v>45.807770961145195</v>
      </c>
      <c r="BL18" s="107">
        <f t="shared" si="18"/>
        <v>104.8077709611452</v>
      </c>
      <c r="BM18" s="107">
        <f>((BJ18/'Assessed Value'!E9)*'Assessed Value'!G9)/12</f>
        <v>17.700231936846837</v>
      </c>
      <c r="BN18" s="24"/>
      <c r="BO18" s="58">
        <f>(((BJ18+BE18)/'Assessed Value'!E9)*'Assessed Value'!G9)/12</f>
        <v>26.010253774518706</v>
      </c>
      <c r="BP18" s="58">
        <f t="shared" si="19"/>
        <v>126.31390593047034</v>
      </c>
      <c r="BQ18" s="58">
        <f t="shared" si="20"/>
        <v>59</v>
      </c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J18"/>
      <c r="CK18"/>
      <c r="CL18"/>
      <c r="CM18"/>
    </row>
    <row r="19" spans="1:91" ht="16.5" customHeight="1">
      <c r="A19" s="9" t="s">
        <v>32</v>
      </c>
      <c r="B19" s="9">
        <f>VLOOKUP(C19,'Input Data'!$C$2:$D$38,2,FALSE)</f>
        <v>21</v>
      </c>
      <c r="C19" s="9" t="s">
        <v>15</v>
      </c>
      <c r="D19" s="10">
        <v>2140000</v>
      </c>
      <c r="E19" s="10">
        <v>400000</v>
      </c>
      <c r="F19" s="10">
        <v>350000</v>
      </c>
      <c r="G19" s="10">
        <v>1390000</v>
      </c>
      <c r="H19" s="10">
        <f t="shared" si="1"/>
        <v>580050</v>
      </c>
      <c r="I19" s="11">
        <v>218671</v>
      </c>
      <c r="J19" s="11">
        <v>1289</v>
      </c>
      <c r="K19" s="12">
        <v>465</v>
      </c>
      <c r="L19" s="12">
        <v>32</v>
      </c>
      <c r="M19" s="12">
        <f t="shared" si="2"/>
        <v>451.6666666666667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23">
        <f t="shared" si="3"/>
        <v>18305.413257575758</v>
      </c>
      <c r="AQ19" s="23">
        <f t="shared" si="4"/>
        <v>21913</v>
      </c>
      <c r="AR19" s="23">
        <f t="shared" si="5"/>
        <v>18135</v>
      </c>
      <c r="AS19" s="23">
        <v>28800</v>
      </c>
      <c r="AT19" s="23">
        <f t="shared" si="6"/>
        <v>95868.75458333334</v>
      </c>
      <c r="AU19" s="23">
        <f t="shared" si="7"/>
        <v>35.37592420049201</v>
      </c>
      <c r="AV19" s="24">
        <f t="shared" si="0"/>
        <v>59</v>
      </c>
      <c r="AW19" s="72">
        <f t="shared" si="8"/>
        <v>420.47699378654977</v>
      </c>
      <c r="AX19" s="73">
        <f t="shared" si="9"/>
        <v>0.9309453736971581</v>
      </c>
      <c r="AY19" s="81">
        <f t="shared" si="10"/>
        <v>-44378.75458333334</v>
      </c>
      <c r="BA19" s="78">
        <f t="shared" si="11"/>
        <v>255.2416256212283</v>
      </c>
      <c r="BB19" s="79">
        <f t="shared" si="12"/>
        <v>0.5651106102315018</v>
      </c>
      <c r="BC19" s="85">
        <f t="shared" si="13"/>
        <v>-11045.754583333342</v>
      </c>
      <c r="BE19" s="101">
        <f t="shared" si="14"/>
        <v>36298.5</v>
      </c>
      <c r="BF19" s="55">
        <f t="shared" si="15"/>
        <v>13.394280442804428</v>
      </c>
      <c r="BG19" s="55">
        <f t="shared" si="16"/>
        <v>72.39428044280443</v>
      </c>
      <c r="BH19" s="102">
        <f>((BE19/'Assessed Value'!E10)*'Assessed Value'!G10)/12</f>
        <v>5.958838228843496</v>
      </c>
      <c r="BI19" s="84"/>
      <c r="BJ19" s="107">
        <f>'Debt Service'!K125</f>
        <v>98844.44444444444</v>
      </c>
      <c r="BK19" s="107">
        <f t="shared" si="17"/>
        <v>36.47396473964739</v>
      </c>
      <c r="BL19" s="107">
        <f t="shared" si="18"/>
        <v>95.47396473964739</v>
      </c>
      <c r="BM19" s="107">
        <f>((BJ19/'Assessed Value'!E10)*'Assessed Value'!G10)/12</f>
        <v>16.22651223230582</v>
      </c>
      <c r="BN19" s="24"/>
      <c r="BO19" s="58">
        <f>(((BJ19+BE19)/'Assessed Value'!E10)*'Assessed Value'!G10)/12</f>
        <v>22.185350461149312</v>
      </c>
      <c r="BP19" s="58">
        <f t="shared" si="19"/>
        <v>108.86824518245183</v>
      </c>
      <c r="BQ19" s="58">
        <f t="shared" si="20"/>
        <v>59</v>
      </c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J19"/>
      <c r="CK19"/>
      <c r="CL19"/>
      <c r="CM19"/>
    </row>
    <row r="20" spans="1:91" ht="16.5" customHeight="1">
      <c r="A20" s="9" t="s">
        <v>32</v>
      </c>
      <c r="B20" s="9">
        <f>VLOOKUP(C20,'Input Data'!$C$2:$D$38,2,FALSE)</f>
        <v>25</v>
      </c>
      <c r="C20" s="9" t="s">
        <v>17</v>
      </c>
      <c r="D20" s="10">
        <v>1760000</v>
      </c>
      <c r="E20" s="10">
        <v>350000</v>
      </c>
      <c r="F20" s="10">
        <v>300000</v>
      </c>
      <c r="G20" s="10">
        <v>1110000</v>
      </c>
      <c r="H20" s="10">
        <f t="shared" si="1"/>
        <v>440550</v>
      </c>
      <c r="I20" s="11">
        <v>206909</v>
      </c>
      <c r="J20" s="11">
        <v>979</v>
      </c>
      <c r="K20" s="12">
        <v>329</v>
      </c>
      <c r="L20" s="12">
        <v>46</v>
      </c>
      <c r="M20" s="12">
        <f t="shared" si="2"/>
        <v>309.8333333333333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23">
        <f t="shared" si="3"/>
        <v>17320.791287878787</v>
      </c>
      <c r="AQ20" s="23">
        <f t="shared" si="4"/>
        <v>16643</v>
      </c>
      <c r="AR20" s="23">
        <f t="shared" si="5"/>
        <v>12831</v>
      </c>
      <c r="AS20" s="23">
        <v>28800</v>
      </c>
      <c r="AT20" s="23">
        <f t="shared" si="6"/>
        <v>83154.27041666668</v>
      </c>
      <c r="AU20" s="23">
        <f t="shared" si="7"/>
        <v>44.73064573247267</v>
      </c>
      <c r="AV20" s="24">
        <f t="shared" si="0"/>
        <v>59</v>
      </c>
      <c r="AW20" s="72">
        <f t="shared" si="8"/>
        <v>364.7117123538012</v>
      </c>
      <c r="AX20" s="73">
        <f t="shared" si="9"/>
        <v>1.1771222561177017</v>
      </c>
      <c r="AY20" s="81">
        <f t="shared" si="10"/>
        <v>-47833.27041666668</v>
      </c>
      <c r="BA20" s="78">
        <f t="shared" si="11"/>
        <v>221.39049631700397</v>
      </c>
      <c r="BB20" s="79">
        <f t="shared" si="12"/>
        <v>0.7145470564292759</v>
      </c>
      <c r="BC20" s="85">
        <f t="shared" si="13"/>
        <v>-24967.5704166667</v>
      </c>
      <c r="BE20" s="101">
        <f t="shared" si="14"/>
        <v>30583.5</v>
      </c>
      <c r="BF20" s="55">
        <f t="shared" si="15"/>
        <v>16.4515868746638</v>
      </c>
      <c r="BG20" s="55">
        <f t="shared" si="16"/>
        <v>75.4515868746638</v>
      </c>
      <c r="BH20" s="102">
        <f>((BE20/'Assessed Value'!E12)*'Assessed Value'!G12)/12</f>
        <v>6.041573014596035</v>
      </c>
      <c r="BI20" s="84"/>
      <c r="BJ20" s="107">
        <f>'Debt Service'!K149</f>
        <v>78933.33333333333</v>
      </c>
      <c r="BK20" s="107">
        <f t="shared" si="17"/>
        <v>42.460103998565536</v>
      </c>
      <c r="BL20" s="107">
        <f t="shared" si="18"/>
        <v>101.46010399856553</v>
      </c>
      <c r="BM20" s="107">
        <f>((BJ20/'Assessed Value'!E12)*'Assessed Value'!G12)/12</f>
        <v>15.59277050104731</v>
      </c>
      <c r="BN20" s="24"/>
      <c r="BO20" s="58">
        <f>(((BJ20+BE20)/'Assessed Value'!E12)*'Assessed Value'!G12)/12</f>
        <v>21.63434351564334</v>
      </c>
      <c r="BP20" s="58">
        <f t="shared" si="19"/>
        <v>117.91169087322933</v>
      </c>
      <c r="BQ20" s="58">
        <f t="shared" si="20"/>
        <v>59</v>
      </c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J20"/>
      <c r="CK20"/>
      <c r="CL20"/>
      <c r="CM20"/>
    </row>
    <row r="21" spans="1:91" ht="16.5" customHeight="1">
      <c r="A21" s="9" t="s">
        <v>32</v>
      </c>
      <c r="B21" s="9">
        <f>VLOOKUP(C21,'Input Data'!$C$2:$D$38,2,FALSE)</f>
        <v>27</v>
      </c>
      <c r="C21" s="9" t="s">
        <v>18</v>
      </c>
      <c r="D21" s="10">
        <v>1300000</v>
      </c>
      <c r="E21" s="10">
        <v>220000</v>
      </c>
      <c r="F21" s="10">
        <v>220000</v>
      </c>
      <c r="G21" s="10">
        <v>860000</v>
      </c>
      <c r="H21" s="10">
        <f t="shared" si="1"/>
        <v>423900</v>
      </c>
      <c r="I21" s="11">
        <v>164124</v>
      </c>
      <c r="J21" s="11">
        <v>942</v>
      </c>
      <c r="K21" s="12">
        <v>227</v>
      </c>
      <c r="L21" s="12">
        <v>50</v>
      </c>
      <c r="M21" s="12">
        <f t="shared" si="2"/>
        <v>206.16666666666666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23">
        <f t="shared" si="3"/>
        <v>13739.168181818182</v>
      </c>
      <c r="AQ21" s="23">
        <f t="shared" si="4"/>
        <v>16014</v>
      </c>
      <c r="AR21" s="23">
        <f t="shared" si="5"/>
        <v>8853</v>
      </c>
      <c r="AS21" s="23">
        <v>28800</v>
      </c>
      <c r="AT21" s="23">
        <f t="shared" si="6"/>
        <v>74146.785</v>
      </c>
      <c r="AU21" s="23">
        <f t="shared" si="7"/>
        <v>59.94081244947454</v>
      </c>
      <c r="AV21" s="24">
        <f t="shared" si="0"/>
        <v>59</v>
      </c>
      <c r="AW21" s="72">
        <f t="shared" si="8"/>
        <v>325.20519736842107</v>
      </c>
      <c r="AX21" s="73">
        <f t="shared" si="9"/>
        <v>1.5773898013019616</v>
      </c>
      <c r="AY21" s="81">
        <f t="shared" si="10"/>
        <v>-50643.785</v>
      </c>
      <c r="BA21" s="78">
        <f t="shared" si="11"/>
        <v>197.40890575079874</v>
      </c>
      <c r="BB21" s="79">
        <f t="shared" si="12"/>
        <v>0.9575209656465582</v>
      </c>
      <c r="BC21" s="85">
        <f t="shared" si="13"/>
        <v>-35428.68500000001</v>
      </c>
      <c r="BE21" s="101">
        <f t="shared" si="14"/>
        <v>19683</v>
      </c>
      <c r="BF21" s="55">
        <f t="shared" si="15"/>
        <v>15.911883589329022</v>
      </c>
      <c r="BG21" s="55">
        <f t="shared" si="16"/>
        <v>74.91188358932902</v>
      </c>
      <c r="BH21" s="102">
        <f>((BE21/'Assessed Value'!E13)*'Assessed Value'!G13)/12</f>
        <v>1.2579416017403742</v>
      </c>
      <c r="BI21" s="84"/>
      <c r="BJ21" s="107">
        <f>'Debt Service'!K157</f>
        <v>61155.55555555556</v>
      </c>
      <c r="BK21" s="107">
        <f t="shared" si="17"/>
        <v>49.438605946285826</v>
      </c>
      <c r="BL21" s="107">
        <f t="shared" si="18"/>
        <v>108.43860594628583</v>
      </c>
      <c r="BM21" s="107">
        <f>((BJ21/'Assessed Value'!E13)*'Assessed Value'!G13)/12</f>
        <v>3.9084548854787378</v>
      </c>
      <c r="BN21" s="24"/>
      <c r="BO21" s="58">
        <f>(((BJ21+BE21)/'Assessed Value'!E13)*'Assessed Value'!G13)/12</f>
        <v>5.166396487219112</v>
      </c>
      <c r="BP21" s="58">
        <f t="shared" si="19"/>
        <v>124.35048953561486</v>
      </c>
      <c r="BQ21" s="58">
        <f t="shared" si="20"/>
        <v>59</v>
      </c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J21"/>
      <c r="CK21"/>
      <c r="CL21"/>
      <c r="CM21"/>
    </row>
    <row r="22" spans="1:91" ht="16.5" customHeight="1">
      <c r="A22" s="9" t="s">
        <v>32</v>
      </c>
      <c r="B22" s="9">
        <f>VLOOKUP(C22,'Input Data'!$C$2:$D$38,2,FALSE)</f>
        <v>30</v>
      </c>
      <c r="C22" s="9" t="s">
        <v>20</v>
      </c>
      <c r="D22" s="10">
        <v>2440000</v>
      </c>
      <c r="E22" s="10">
        <v>510000</v>
      </c>
      <c r="F22" s="10">
        <v>360000</v>
      </c>
      <c r="G22" s="10">
        <v>1570000</v>
      </c>
      <c r="H22" s="10">
        <f t="shared" si="1"/>
        <v>666450</v>
      </c>
      <c r="I22" s="11">
        <v>227670</v>
      </c>
      <c r="J22" s="11">
        <v>1481</v>
      </c>
      <c r="K22" s="12">
        <v>866</v>
      </c>
      <c r="L22" s="12">
        <v>108</v>
      </c>
      <c r="M22" s="12">
        <f t="shared" si="2"/>
        <v>821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23">
        <f t="shared" si="3"/>
        <v>19058.738636363636</v>
      </c>
      <c r="AQ22" s="23">
        <f t="shared" si="4"/>
        <v>25177</v>
      </c>
      <c r="AR22" s="23">
        <f t="shared" si="5"/>
        <v>33774</v>
      </c>
      <c r="AS22" s="23">
        <v>28800</v>
      </c>
      <c r="AT22" s="23">
        <f t="shared" si="6"/>
        <v>117490.71250000001</v>
      </c>
      <c r="AU22" s="23">
        <f t="shared" si="7"/>
        <v>23.85113936256598</v>
      </c>
      <c r="AV22" s="24">
        <f t="shared" si="0"/>
        <v>59</v>
      </c>
      <c r="AW22" s="72">
        <f t="shared" si="8"/>
        <v>515.3101425438597</v>
      </c>
      <c r="AX22" s="73">
        <f t="shared" si="9"/>
        <v>0.6276615621727889</v>
      </c>
      <c r="AY22" s="81">
        <f t="shared" si="10"/>
        <v>-23896.712500000023</v>
      </c>
      <c r="BA22" s="78">
        <f t="shared" si="11"/>
        <v>312.80807374866885</v>
      </c>
      <c r="BB22" s="79">
        <f t="shared" si="12"/>
        <v>0.381008616015431</v>
      </c>
      <c r="BC22" s="85">
        <f t="shared" si="13"/>
        <v>36693.08749999998</v>
      </c>
      <c r="BE22" s="101">
        <f t="shared" si="14"/>
        <v>42406.5</v>
      </c>
      <c r="BF22" s="55">
        <f t="shared" si="15"/>
        <v>8.608708891595615</v>
      </c>
      <c r="BG22" s="55">
        <f t="shared" si="16"/>
        <v>67.60870889159561</v>
      </c>
      <c r="BH22" s="102">
        <f>((BE22/'Assessed Value'!E14)*'Assessed Value'!G14)/12</f>
        <v>3.961441045037006</v>
      </c>
      <c r="BI22" s="84"/>
      <c r="BJ22" s="107">
        <f>'Debt Service'!K173</f>
        <v>111644.44444444444</v>
      </c>
      <c r="BK22" s="107">
        <f t="shared" si="17"/>
        <v>22.66432083728064</v>
      </c>
      <c r="BL22" s="107">
        <f t="shared" si="18"/>
        <v>81.66432083728064</v>
      </c>
      <c r="BM22" s="107">
        <f>((BJ22/'Assessed Value'!E14)*'Assessed Value'!G14)/12</f>
        <v>10.429365419748764</v>
      </c>
      <c r="BN22" s="24"/>
      <c r="BO22" s="58">
        <f>(((BJ22+BE22)/'Assessed Value'!E14)*'Assessed Value'!G14)/12</f>
        <v>14.390806464785769</v>
      </c>
      <c r="BP22" s="58">
        <f t="shared" si="19"/>
        <v>90.27302972887625</v>
      </c>
      <c r="BQ22" s="58">
        <f t="shared" si="20"/>
        <v>59</v>
      </c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J22"/>
      <c r="CK22"/>
      <c r="CL22"/>
      <c r="CM22"/>
    </row>
    <row r="23" spans="1:91" ht="16.5" customHeight="1">
      <c r="A23" s="9" t="s">
        <v>32</v>
      </c>
      <c r="B23" s="9">
        <f>VLOOKUP(C23,'Input Data'!$C$2:$D$38,2,FALSE)</f>
        <v>34</v>
      </c>
      <c r="C23" s="9" t="s">
        <v>23</v>
      </c>
      <c r="D23" s="10">
        <v>1260000</v>
      </c>
      <c r="E23" s="10">
        <v>270000</v>
      </c>
      <c r="F23" s="10">
        <v>220000</v>
      </c>
      <c r="G23" s="10">
        <v>770000</v>
      </c>
      <c r="H23" s="10">
        <f t="shared" si="1"/>
        <v>252900</v>
      </c>
      <c r="I23" s="11">
        <v>126929</v>
      </c>
      <c r="J23" s="11">
        <v>562</v>
      </c>
      <c r="K23" s="12">
        <v>261</v>
      </c>
      <c r="L23" s="12">
        <v>26</v>
      </c>
      <c r="M23" s="12">
        <f t="shared" si="2"/>
        <v>250.16666666666666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23">
        <f t="shared" si="3"/>
        <v>10625.495833333332</v>
      </c>
      <c r="AQ23" s="23">
        <f t="shared" si="4"/>
        <v>9554</v>
      </c>
      <c r="AR23" s="23">
        <f t="shared" si="5"/>
        <v>10179</v>
      </c>
      <c r="AS23" s="23">
        <v>28800</v>
      </c>
      <c r="AT23" s="23">
        <f t="shared" si="6"/>
        <v>65074.34541666667</v>
      </c>
      <c r="AU23" s="23">
        <f t="shared" si="7"/>
        <v>43.353994281590055</v>
      </c>
      <c r="AV23" s="24">
        <f t="shared" si="0"/>
        <v>59</v>
      </c>
      <c r="AW23" s="72">
        <f t="shared" si="8"/>
        <v>285.4137956871345</v>
      </c>
      <c r="AX23" s="73">
        <f t="shared" si="9"/>
        <v>1.140894586357633</v>
      </c>
      <c r="AY23" s="81">
        <f t="shared" si="10"/>
        <v>-36555.34541666667</v>
      </c>
      <c r="BA23" s="78">
        <f t="shared" si="11"/>
        <v>173.25438076854812</v>
      </c>
      <c r="BB23" s="79">
        <f t="shared" si="12"/>
        <v>0.6925558191947293</v>
      </c>
      <c r="BC23" s="85">
        <f t="shared" si="13"/>
        <v>-18093.045416666682</v>
      </c>
      <c r="BE23" s="101">
        <f t="shared" si="14"/>
        <v>23613</v>
      </c>
      <c r="BF23" s="55">
        <f t="shared" si="15"/>
        <v>15.73151232511659</v>
      </c>
      <c r="BG23" s="55">
        <f t="shared" si="16"/>
        <v>74.7315123251166</v>
      </c>
      <c r="BH23" s="102">
        <f>((BE23/'Assessed Value'!E15)*'Assessed Value'!G15)/12</f>
        <v>7.191122651681984</v>
      </c>
      <c r="BI23" s="84"/>
      <c r="BJ23" s="107">
        <f>'Debt Service'!K205</f>
        <v>54755.55555555556</v>
      </c>
      <c r="BK23" s="107">
        <f t="shared" si="17"/>
        <v>36.47938411429418</v>
      </c>
      <c r="BL23" s="107">
        <f t="shared" si="18"/>
        <v>95.47938411429418</v>
      </c>
      <c r="BM23" s="107">
        <f>((BJ23/'Assessed Value'!E15)*'Assessed Value'!G15)/12</f>
        <v>16.675302412272348</v>
      </c>
      <c r="BN23" s="24"/>
      <c r="BO23" s="58">
        <f>(((BJ23+BE23)/'Assessed Value'!E15)*'Assessed Value'!G15)/12</f>
        <v>23.866425063954335</v>
      </c>
      <c r="BP23" s="58">
        <f t="shared" si="19"/>
        <v>111.21089643941077</v>
      </c>
      <c r="BQ23" s="58">
        <f t="shared" si="20"/>
        <v>59</v>
      </c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J23"/>
      <c r="CK23"/>
      <c r="CL23"/>
      <c r="CM23"/>
    </row>
    <row r="24" spans="1:91" ht="16.5" customHeight="1">
      <c r="A24" s="9" t="s">
        <v>33</v>
      </c>
      <c r="B24" s="9">
        <f>VLOOKUP(C24,'Input Data'!$C$2:$D$38,2,FALSE)</f>
        <v>35</v>
      </c>
      <c r="C24" s="9" t="s">
        <v>24</v>
      </c>
      <c r="D24" s="10">
        <v>1900000</v>
      </c>
      <c r="E24" s="10">
        <v>410000</v>
      </c>
      <c r="F24" s="10">
        <v>320000</v>
      </c>
      <c r="G24" s="10">
        <v>1170000</v>
      </c>
      <c r="H24" s="10">
        <f>J24*450</f>
        <v>517500</v>
      </c>
      <c r="I24" s="11">
        <v>209038</v>
      </c>
      <c r="J24" s="11">
        <v>1150</v>
      </c>
      <c r="K24" s="12">
        <v>436</v>
      </c>
      <c r="L24" s="12">
        <v>17</v>
      </c>
      <c r="M24" s="12">
        <f>(K24-L24)+(L24*7/12)</f>
        <v>428.9166666666667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23">
        <f>442*I24/5280</f>
        <v>17499.014393939393</v>
      </c>
      <c r="AQ24" s="23">
        <f>J24*17</f>
        <v>19550</v>
      </c>
      <c r="AR24" s="23">
        <f>39*K24</f>
        <v>17004</v>
      </c>
      <c r="AS24" s="23">
        <v>28800</v>
      </c>
      <c r="AT24" s="23">
        <f>(AP24+AQ24+AR24+AS24)*1.1</f>
        <v>91138.31583333334</v>
      </c>
      <c r="AU24" s="23">
        <f>AT24/12/($BE$3*M24)</f>
        <v>35.414150314098826</v>
      </c>
      <c r="AV24" s="24">
        <f t="shared" si="0"/>
        <v>59</v>
      </c>
      <c r="AW24" s="72">
        <f>AT24/((AV24-$AW$3-$AP$3*$AX$3)*12)</f>
        <v>399.7294554093568</v>
      </c>
      <c r="AX24" s="73">
        <f>AW24/M24</f>
        <v>0.9319513240552324</v>
      </c>
      <c r="AY24" s="81">
        <f>(AV24-AU24-$AW$3-$AP$3*$AX$3)*M24*$BE$3*12</f>
        <v>-42241.81583333333</v>
      </c>
      <c r="BA24" s="78">
        <f>AT24/((AV24-(1-$AP$3)*$BA$3-$AP$3*$BB$3-$BC$3)*12)</f>
        <v>242.64727325168624</v>
      </c>
      <c r="BB24" s="79">
        <f>BA24/M24</f>
        <v>0.565721251023943</v>
      </c>
      <c r="BC24" s="85">
        <f>IF(M24*$BE$3&lt;=$AZ$3,M24*$BE$3*($AR$3*$AT$3+AS$3*$AU$3+$AP$3*$AQ$3-(1-$AP$3)*$BA$3-$AP$3*$BB$3-$BC$3)*12-AT24,IF(M24*$BE$3&lt;=$AZ$4,M24*$BE$3*($AR$3*$AT$3+AS$3*$AU$3+$AP$3*$AQ$3-(1-$AP$3)*$BA$4-$AP$3*$BB$4-$BC$4)*12-AT24,IF(M24*$BE$3&lt;=$AZ$5,M24*$BE$3*($AR$3*$AT$3+AS$3*$AU$3+$AP$3*$AQ$3-(1-$AP$3)*$BA$5-$AP$3*$BB$5-$BC$5)*12-AT24,IF(M24*$BE$3&lt;=$AZ$6,M24*$BE$3*($AR$3*$AT$3+AS$3*$AU$3+$AP$3*$AQ$3-(1-$AP$3)*$BA$6-$AP$3*$BB$6-$BC$6)*12-AT24))))</f>
        <v>-10587.765833333353</v>
      </c>
      <c r="BE24" s="101">
        <f>0.03*(D24-F24-H24)</f>
        <v>31875</v>
      </c>
      <c r="BF24" s="55">
        <f>(BE24/(M24*$BE$3))/12</f>
        <v>12.38585583835244</v>
      </c>
      <c r="BG24" s="55">
        <f>AV24+BF24</f>
        <v>71.38585583835244</v>
      </c>
      <c r="BH24" s="102">
        <f>((BE24/'Assessed Value'!E23)*'Assessed Value'!G23)/12</f>
        <v>4.9375880229937215</v>
      </c>
      <c r="BI24" s="84"/>
      <c r="BJ24" s="107">
        <f>'Debt Service'!K213</f>
        <v>83200</v>
      </c>
      <c r="BK24" s="107">
        <f>BJ24/(12*$BE$3*M24)</f>
        <v>32.32951233728385</v>
      </c>
      <c r="BL24" s="107">
        <f>AV24+BK24</f>
        <v>91.32951233728386</v>
      </c>
      <c r="BM24" s="107">
        <f>(BJ24/12/K24)</f>
        <v>15.902140672782874</v>
      </c>
      <c r="BN24" s="24"/>
      <c r="BO24" s="58">
        <f>(((BJ24+BE24)/'Assessed Value'!E23)*'Assessed Value'!G23)/12</f>
        <v>17.82566091752165</v>
      </c>
      <c r="BP24" s="58">
        <f>AV24+BF24+BK24</f>
        <v>103.71536817563629</v>
      </c>
      <c r="BQ24" s="58">
        <f>AV24</f>
        <v>59</v>
      </c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J24"/>
      <c r="CK24"/>
      <c r="CL24"/>
      <c r="CM24"/>
    </row>
    <row r="25" spans="1:91" ht="16.5" customHeight="1">
      <c r="A25" s="9" t="s">
        <v>32</v>
      </c>
      <c r="B25" s="9">
        <f>VLOOKUP(C25,'Input Data'!$C$2:$D$38,2,FALSE)</f>
        <v>36</v>
      </c>
      <c r="C25" s="9" t="s">
        <v>25</v>
      </c>
      <c r="D25" s="183">
        <v>2150000</v>
      </c>
      <c r="E25" s="183">
        <v>450000</v>
      </c>
      <c r="F25" s="183">
        <v>380000</v>
      </c>
      <c r="G25" s="183">
        <v>1320000</v>
      </c>
      <c r="H25" s="183">
        <f t="shared" si="1"/>
        <v>589500</v>
      </c>
      <c r="I25" s="184">
        <v>280652</v>
      </c>
      <c r="J25" s="184">
        <v>1310</v>
      </c>
      <c r="K25" s="185">
        <v>491</v>
      </c>
      <c r="L25" s="185">
        <v>104</v>
      </c>
      <c r="M25" s="185">
        <f t="shared" si="2"/>
        <v>447.6666666666667</v>
      </c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3">
        <f t="shared" si="3"/>
        <v>23493.974242424243</v>
      </c>
      <c r="AQ25" s="23">
        <f t="shared" si="4"/>
        <v>22270</v>
      </c>
      <c r="AR25" s="23">
        <f t="shared" si="5"/>
        <v>19149</v>
      </c>
      <c r="AS25" s="23">
        <v>28800</v>
      </c>
      <c r="AT25" s="23">
        <f t="shared" si="6"/>
        <v>103084.27166666668</v>
      </c>
      <c r="AU25" s="23">
        <f t="shared" si="7"/>
        <v>38.3783587738893</v>
      </c>
      <c r="AV25" s="24">
        <f t="shared" si="0"/>
        <v>59</v>
      </c>
      <c r="AW25" s="72">
        <f t="shared" si="8"/>
        <v>452.1239985380118</v>
      </c>
      <c r="AX25" s="73">
        <f t="shared" si="9"/>
        <v>1.0099568098391924</v>
      </c>
      <c r="AY25" s="81">
        <f t="shared" si="10"/>
        <v>-52050.271666666675</v>
      </c>
      <c r="BA25" s="78">
        <f t="shared" si="11"/>
        <v>274.45226748313814</v>
      </c>
      <c r="BB25" s="79">
        <f t="shared" si="12"/>
        <v>0.6130728238640465</v>
      </c>
      <c r="BC25" s="85">
        <f t="shared" si="13"/>
        <v>-19012.471666666694</v>
      </c>
      <c r="BE25" s="101">
        <f t="shared" si="14"/>
        <v>35415</v>
      </c>
      <c r="BF25" s="55">
        <f t="shared" si="15"/>
        <v>13.185033507073713</v>
      </c>
      <c r="BG25" s="55">
        <f t="shared" si="16"/>
        <v>72.18503350707371</v>
      </c>
      <c r="BH25" s="102">
        <f>((BE25/'Assessed Value'!E16)*'Assessed Value'!G16)/12</f>
        <v>5.552746803370451</v>
      </c>
      <c r="BI25" s="84"/>
      <c r="BJ25" s="107">
        <f>'Debt Service'!K221</f>
        <v>93866.66666666667</v>
      </c>
      <c r="BK25" s="107">
        <f t="shared" si="17"/>
        <v>34.94663688260114</v>
      </c>
      <c r="BL25" s="107">
        <f t="shared" si="18"/>
        <v>93.94663688260114</v>
      </c>
      <c r="BM25" s="107">
        <f>((BJ25/'Assessed Value'!E16)*'Assessed Value'!G16)/12</f>
        <v>14.717431406928506</v>
      </c>
      <c r="BN25" s="24"/>
      <c r="BO25" s="58">
        <f>(((BJ25+BE25)/'Assessed Value'!E16)*'Assessed Value'!G16)/12</f>
        <v>20.270178210298955</v>
      </c>
      <c r="BP25" s="58">
        <f t="shared" si="19"/>
        <v>107.13167038967485</v>
      </c>
      <c r="BQ25" s="58">
        <f t="shared" si="20"/>
        <v>59</v>
      </c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J25"/>
      <c r="CK25"/>
      <c r="CL25"/>
      <c r="CM25"/>
    </row>
    <row r="26" spans="1:69" s="279" customFormat="1" ht="21.75" customHeight="1">
      <c r="A26" s="310"/>
      <c r="B26" s="310"/>
      <c r="C26" s="270" t="s">
        <v>39</v>
      </c>
      <c r="D26" s="271">
        <f aca="true" t="shared" si="21" ref="D26:L26">SUM(D10:D25)</f>
        <v>37730000</v>
      </c>
      <c r="E26" s="271">
        <f t="shared" si="21"/>
        <v>7750000</v>
      </c>
      <c r="F26" s="271">
        <f t="shared" si="21"/>
        <v>6170000</v>
      </c>
      <c r="G26" s="271">
        <f t="shared" si="21"/>
        <v>23810000</v>
      </c>
      <c r="H26" s="271">
        <f t="shared" si="21"/>
        <v>9852300</v>
      </c>
      <c r="I26" s="272">
        <f t="shared" si="21"/>
        <v>3994060</v>
      </c>
      <c r="J26" s="272">
        <f t="shared" si="21"/>
        <v>21894</v>
      </c>
      <c r="K26" s="272">
        <f t="shared" si="21"/>
        <v>9123</v>
      </c>
      <c r="L26" s="272">
        <f t="shared" si="21"/>
        <v>1843</v>
      </c>
      <c r="M26" s="273">
        <f t="shared" si="2"/>
        <v>8355.083333333334</v>
      </c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1">
        <f>SUM(AP10:AP25)</f>
        <v>334351.23484848486</v>
      </c>
      <c r="AQ26" s="271">
        <f>SUM(AQ10:AQ25)</f>
        <v>372198</v>
      </c>
      <c r="AR26" s="271">
        <f>0.7*SUM(AR10:AR25)</f>
        <v>249057.9</v>
      </c>
      <c r="AS26" s="271">
        <v>78000</v>
      </c>
      <c r="AT26" s="274">
        <f t="shared" si="6"/>
        <v>1136967.8483333334</v>
      </c>
      <c r="AU26" s="274">
        <f t="shared" si="7"/>
        <v>22.680161744513487</v>
      </c>
      <c r="AV26" s="275">
        <f t="shared" si="0"/>
        <v>59</v>
      </c>
      <c r="AW26" s="276">
        <f t="shared" si="8"/>
        <v>4986.701089181287</v>
      </c>
      <c r="AX26" s="277">
        <f t="shared" si="9"/>
        <v>0.5968463616977233</v>
      </c>
      <c r="AY26" s="278">
        <f t="shared" si="10"/>
        <v>-184488.3483333332</v>
      </c>
      <c r="BA26" s="319">
        <f t="shared" si="11"/>
        <v>3027.070948704296</v>
      </c>
      <c r="BB26" s="280">
        <f t="shared" si="12"/>
        <v>0.36230290326698866</v>
      </c>
      <c r="BC26" s="281">
        <f t="shared" si="13"/>
        <v>432116.8016666665</v>
      </c>
      <c r="BD26" s="311"/>
      <c r="BE26" s="312">
        <f t="shared" si="14"/>
        <v>651231</v>
      </c>
      <c r="BF26" s="313">
        <f t="shared" si="15"/>
        <v>12.990714235844445</v>
      </c>
      <c r="BG26" s="313">
        <f t="shared" si="16"/>
        <v>71.99071423584445</v>
      </c>
      <c r="BH26" s="314">
        <f>((BE26/'Assessed Value'!E17)*'Assessed Value'!G17)/12</f>
        <v>5.427806879537595</v>
      </c>
      <c r="BI26" s="315"/>
      <c r="BJ26" s="316">
        <f>SUM(BJ10:BJ25)</f>
        <v>1693155.5555555557</v>
      </c>
      <c r="BK26" s="316">
        <f t="shared" si="17"/>
        <v>33.774958469505705</v>
      </c>
      <c r="BL26" s="316">
        <f t="shared" si="18"/>
        <v>92.7749584695057</v>
      </c>
      <c r="BM26" s="316">
        <f>((BJ26/'Assessed Value'!E17)*'Assessed Value'!G17)/12</f>
        <v>14.1119224554294</v>
      </c>
      <c r="BN26" s="275"/>
      <c r="BO26" s="318">
        <f>(((BJ26+BE26)/'Assessed Value'!E17)*'Assessed Value'!G17)/12</f>
        <v>19.539729334966996</v>
      </c>
      <c r="BP26" s="318">
        <f t="shared" si="19"/>
        <v>105.76567270535016</v>
      </c>
      <c r="BQ26" s="318">
        <f t="shared" si="20"/>
        <v>59</v>
      </c>
    </row>
    <row r="27" spans="1:91" ht="16.5" customHeight="1">
      <c r="A27" s="9" t="s">
        <v>33</v>
      </c>
      <c r="B27" s="9">
        <f>VLOOKUP(C27,'Input Data'!$C$2:$D$38,2,FALSE)</f>
        <v>14</v>
      </c>
      <c r="C27" s="9" t="s">
        <v>11</v>
      </c>
      <c r="D27" s="10">
        <v>1750000</v>
      </c>
      <c r="E27" s="10">
        <v>370000</v>
      </c>
      <c r="F27" s="10">
        <v>310000</v>
      </c>
      <c r="G27" s="10">
        <v>1070000</v>
      </c>
      <c r="H27" s="10">
        <f>J27*450</f>
        <v>367650</v>
      </c>
      <c r="I27" s="11">
        <v>179481</v>
      </c>
      <c r="J27" s="11">
        <v>817</v>
      </c>
      <c r="K27" s="12">
        <v>325</v>
      </c>
      <c r="L27" s="12">
        <v>25</v>
      </c>
      <c r="M27" s="12">
        <f>(K27-L27)+(L27*7/12)</f>
        <v>314.5833333333333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23">
        <f>442*I27/5280</f>
        <v>15024.735227272728</v>
      </c>
      <c r="AQ27" s="23">
        <f>J27*17</f>
        <v>13889</v>
      </c>
      <c r="AR27" s="23">
        <f>39*K27</f>
        <v>12675</v>
      </c>
      <c r="AS27" s="23">
        <v>28800</v>
      </c>
      <c r="AT27" s="23">
        <f>(AP27+AQ27+AR27+AS27)*1.1</f>
        <v>77427.60875000001</v>
      </c>
      <c r="AU27" s="23">
        <f>AT27/12/($BE$3*M27)</f>
        <v>41.021249668874184</v>
      </c>
      <c r="AV27" s="24">
        <f t="shared" si="0"/>
        <v>59</v>
      </c>
      <c r="AW27" s="72">
        <f>AT27/((AV27-$AW$3-$AP$3*$AX$3)*12)</f>
        <v>339.5947752192983</v>
      </c>
      <c r="AX27" s="73">
        <f>AW27/M27</f>
        <v>1.0795065702335311</v>
      </c>
      <c r="AY27" s="81">
        <f>(AV27-AU27-$AW$3-$AP$3*$AX$3)*M27*$BE$3*12</f>
        <v>-41565.10875000002</v>
      </c>
      <c r="BA27" s="78">
        <f>AT27/((AV27-(1-$AP$3)*$BA$3-$AP$3*$BB$3-$BC$3)*12)</f>
        <v>206.14379326411083</v>
      </c>
      <c r="BB27" s="79">
        <f>BA27/M27</f>
        <v>0.6552915282567762</v>
      </c>
      <c r="BC27" s="85">
        <f>IF(M27*$BE$3&lt;=$AZ$3,M27*$BE$3*($AR$3*$AT$3+AS$3*$AU$3+$AP$3*$AQ$3-(1-$AP$3)*$BA$3-$AP$3*$BB$3-$BC$3)*12-AT27,IF(M27*$BE$3&lt;=$AZ$4,M27*$BE$3*($AR$3*$AT$3+AS$3*$AU$3+$AP$3*$AQ$3-(1-$AP$3)*$BA$4-$AP$3*$BB$4-$BC$4)*12-AT27,IF(M27*$BE$3&lt;=$AZ$5,M27*$BE$3*($AR$3*$AT$3+AS$3*$AU$3+$AP$3*$AQ$3-(1-$AP$3)*$BA$5-$AP$3*$BB$5-$BC$5)*12-AT27,IF(M27*$BE$3&lt;=$AZ$6,M27*$BE$3*($AR$3*$AT$3+AS$3*$AU$3+$AP$3*$AQ$3-(1-$AP$3)*$BA$6-$AP$3*$BB$6-$BC$6)*12-AT27))))</f>
        <v>-18348.85875000002</v>
      </c>
      <c r="BE27" s="101">
        <f>0.03*(D27-F27-H27)</f>
        <v>32170.5</v>
      </c>
      <c r="BF27" s="55">
        <f>(BE27/(M27*$BE$3))/12</f>
        <v>17.043973509933775</v>
      </c>
      <c r="BG27" s="55">
        <f>AV27+BF27</f>
        <v>76.04397350993378</v>
      </c>
      <c r="BH27" s="102">
        <f>((BE27/'Assessed Value'!E20)*'Assessed Value'!G20)/12</f>
        <v>7.831888241922845</v>
      </c>
      <c r="BI27" s="84"/>
      <c r="BJ27" s="107">
        <f>'Debt Service'!K93</f>
        <v>76088.88888888889</v>
      </c>
      <c r="BK27" s="107">
        <f>BJ27/(12*$BE$3*M27)</f>
        <v>40.31199411331862</v>
      </c>
      <c r="BL27" s="107">
        <f>AV27+BK27</f>
        <v>99.31199411331862</v>
      </c>
      <c r="BM27" s="107">
        <f>(BJ27/12/K27)</f>
        <v>19.50997150997151</v>
      </c>
      <c r="BN27" s="24"/>
      <c r="BO27" s="58">
        <f>(((BJ27+BE27)/'Assessed Value'!E20)*'Assessed Value'!G20)/12</f>
        <v>26.355680978431845</v>
      </c>
      <c r="BP27" s="58">
        <f>AV27+BF27+BK27</f>
        <v>116.3559676232524</v>
      </c>
      <c r="BQ27" s="58">
        <f>AV27</f>
        <v>59</v>
      </c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J27"/>
      <c r="CK27"/>
      <c r="CL27"/>
      <c r="CM27"/>
    </row>
    <row r="28" spans="1:91" ht="16.5" customHeight="1">
      <c r="A28" s="9" t="s">
        <v>33</v>
      </c>
      <c r="B28" s="9">
        <f>VLOOKUP(C28,'Input Data'!$C$2:$D$38,2,FALSE)</f>
        <v>37</v>
      </c>
      <c r="C28" s="9" t="s">
        <v>26</v>
      </c>
      <c r="D28" s="183">
        <v>2860000</v>
      </c>
      <c r="E28" s="183">
        <v>590000</v>
      </c>
      <c r="F28" s="183">
        <v>480000</v>
      </c>
      <c r="G28" s="183">
        <v>1790000</v>
      </c>
      <c r="H28" s="183">
        <f>J28*450</f>
        <v>730350</v>
      </c>
      <c r="I28" s="184">
        <v>310291</v>
      </c>
      <c r="J28" s="184">
        <v>1623</v>
      </c>
      <c r="K28" s="185">
        <v>629</v>
      </c>
      <c r="L28" s="185">
        <v>76</v>
      </c>
      <c r="M28" s="185">
        <f>(K28-L28)+(L28*7/12)</f>
        <v>597.3333333333334</v>
      </c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3">
        <f>442*I28/5280</f>
        <v>25975.1178030303</v>
      </c>
      <c r="AQ28" s="23">
        <f>J28*17</f>
        <v>27591</v>
      </c>
      <c r="AR28" s="23">
        <f>39*K28</f>
        <v>24531</v>
      </c>
      <c r="AS28" s="23">
        <v>28800</v>
      </c>
      <c r="AT28" s="23">
        <f>(AP28+AQ28+AR28+AS28)*1.1</f>
        <v>117586.82958333334</v>
      </c>
      <c r="AU28" s="23">
        <f>AT28/12/($BE$3*M28)</f>
        <v>32.80882521856399</v>
      </c>
      <c r="AV28" s="24">
        <f t="shared" si="0"/>
        <v>59</v>
      </c>
      <c r="AW28" s="72">
        <f>AT28/((AV28-$AW$3-$AP$3*$AX$3)*12)</f>
        <v>515.7317086988304</v>
      </c>
      <c r="AX28" s="73">
        <f>AW28/M28</f>
        <v>0.8633901373306312</v>
      </c>
      <c r="AY28" s="81">
        <f>(AV28-AU28-$AW$3-$AP$3*$AX$3)*M28*$BE$3*12</f>
        <v>-49490.82958333334</v>
      </c>
      <c r="BA28" s="78">
        <f>AT28/((AV28-(1-$AP$3)*$BA$3-$AP$3*$BB$3-$BC$3)*12)</f>
        <v>313.0639765264466</v>
      </c>
      <c r="BB28" s="79">
        <f>BA28/M28</f>
        <v>0.5241026392741851</v>
      </c>
      <c r="BC28" s="85">
        <f>IF(M28*$BE$3&lt;=$AZ$3,M28*$BE$3*($AR$3*$AT$3+AS$3*$AU$3+$AP$3*$AQ$3-(1-$AP$3)*$BA$3-$AP$3*$BB$3-$BC$3)*12-AT28,IF(M28*$BE$3&lt;=$AZ$4,M28*$BE$3*($AR$3*$AT$3+AS$3*$AU$3+$AP$3*$AQ$3-(1-$AP$3)*$BA$4-$AP$3*$BB$4-$BC$4)*12-AT28,IF(M28*$BE$3&lt;=$AZ$5,M28*$BE$3*($AR$3*$AT$3+AS$3*$AU$3+$AP$3*$AQ$3-(1-$AP$3)*$BA$5-$AP$3*$BB$5-$BC$5)*12-AT28,IF(M28*$BE$3&lt;=$AZ$6,M28*$BE$3*($AR$3*$AT$3+AS$3*$AU$3+$AP$3*$AQ$3-(1-$AP$3)*$BA$6-$AP$3*$BB$6-$BC$6)*12-AT28))))</f>
        <v>-5407.629583333342</v>
      </c>
      <c r="BE28" s="101">
        <f>0.03*(D28-F28-H28)</f>
        <v>49489.5</v>
      </c>
      <c r="BF28" s="55">
        <f>(BE28/(M28*$BE$3))/12</f>
        <v>13.808454241071429</v>
      </c>
      <c r="BG28" s="55">
        <f>AV28+BF28</f>
        <v>72.80845424107143</v>
      </c>
      <c r="BH28" s="102">
        <f>((BE28/'Assessed Value'!E24)*'Assessed Value'!G24)/12</f>
        <v>6.133455031410668</v>
      </c>
      <c r="BI28" s="84"/>
      <c r="BJ28" s="107">
        <f>'Debt Service'!K229</f>
        <v>127288.88888888888</v>
      </c>
      <c r="BK28" s="107">
        <f>BJ28/(12*$BE$3*M28)</f>
        <v>35.51587301587301</v>
      </c>
      <c r="BL28" s="107">
        <f>AV28+BK28</f>
        <v>94.51587301587301</v>
      </c>
      <c r="BM28" s="107">
        <f>(BJ28/12/K28)</f>
        <v>16.863922746275687</v>
      </c>
      <c r="BN28" s="24"/>
      <c r="BO28" s="58">
        <f>(((BJ28+BE28)/'Assessed Value'!E24)*'Assessed Value'!G24)/12</f>
        <v>21.908936214252062</v>
      </c>
      <c r="BP28" s="58">
        <f>AV28+BF28+BK28</f>
        <v>108.32432725694444</v>
      </c>
      <c r="BQ28" s="58">
        <f>AV28</f>
        <v>59</v>
      </c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J28"/>
      <c r="CK28"/>
      <c r="CL28"/>
      <c r="CM28"/>
    </row>
    <row r="29" spans="1:69" s="279" customFormat="1" ht="21.75" customHeight="1">
      <c r="A29" s="310"/>
      <c r="B29" s="310"/>
      <c r="C29" s="270" t="s">
        <v>39</v>
      </c>
      <c r="D29" s="271">
        <f aca="true" t="shared" si="22" ref="D29:L29">SUM(D10:D28)</f>
        <v>80070000</v>
      </c>
      <c r="E29" s="271">
        <f t="shared" si="22"/>
        <v>16460000</v>
      </c>
      <c r="F29" s="271">
        <f t="shared" si="22"/>
        <v>13130000</v>
      </c>
      <c r="G29" s="271">
        <f t="shared" si="22"/>
        <v>50480000</v>
      </c>
      <c r="H29" s="271">
        <f t="shared" si="22"/>
        <v>20802600</v>
      </c>
      <c r="I29" s="272">
        <f t="shared" si="22"/>
        <v>8477892</v>
      </c>
      <c r="J29" s="272">
        <f t="shared" si="22"/>
        <v>46228</v>
      </c>
      <c r="K29" s="272">
        <f t="shared" si="22"/>
        <v>19200</v>
      </c>
      <c r="L29" s="272">
        <f t="shared" si="22"/>
        <v>3787</v>
      </c>
      <c r="M29" s="273">
        <f>(K29-L29)+(L29*7/12)</f>
        <v>17622.083333333332</v>
      </c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1">
        <f>SUM(AP10:AP28)</f>
        <v>709702.3227272728</v>
      </c>
      <c r="AQ29" s="271">
        <f>SUM(AQ10:AQ28)</f>
        <v>785876</v>
      </c>
      <c r="AR29" s="271">
        <f>0.7*SUM(AR10:AR28)</f>
        <v>449442.63</v>
      </c>
      <c r="AS29" s="271">
        <v>78000</v>
      </c>
      <c r="AT29" s="274">
        <f>(AP29+AQ29+AR29+AS29)*1.1</f>
        <v>2225323.048</v>
      </c>
      <c r="AU29" s="274">
        <f>AT29/12/($BE$3*M29)</f>
        <v>21.04672686260138</v>
      </c>
      <c r="AV29" s="275">
        <f t="shared" si="0"/>
        <v>59</v>
      </c>
      <c r="AW29" s="276">
        <f>AT29/((AV29-$AW$3-$AP$3*$AX$3)*12)</f>
        <v>9760.188807017543</v>
      </c>
      <c r="AX29" s="277">
        <f>AW29/M29</f>
        <v>0.553861233226352</v>
      </c>
      <c r="AY29" s="278">
        <f>(AV29-AU29-$AW$3-$AP$3*$AX$3)*M29*$BE$3*12</f>
        <v>-216405.54799999984</v>
      </c>
      <c r="BA29" s="319">
        <f>AT29/((AV29-(1-$AP$3)*$BA$3-$AP$3*$BB$3-$BC$3)*12)</f>
        <v>5924.715250266241</v>
      </c>
      <c r="BB29" s="280">
        <f>BA29/M29</f>
        <v>0.33620969429075687</v>
      </c>
      <c r="BC29" s="281">
        <f>IF(M29*$BE$3&lt;=$AZ$3,M29*$BE$3*($AR$3*$AT$3+AS$3*$AU$3+$AP$3*$AQ$3-(1-$AP$3)*$BA$3-$AP$3*$BB$3-$BC$3)*12-AT29,IF(M29*$BE$3&lt;=$AZ$4,M29*$BE$3*($AR$3*$AT$3+AS$3*$AU$3+$AP$3*$AQ$3-(1-$AP$3)*$BA$4-$AP$3*$BB$4-$BC$4)*12-AT29,IF(M29*$BE$3&lt;=$AZ$5,M29*$BE$3*($AR$3*$AT$3+AS$3*$AU$3+$AP$3*$AQ$3-(1-$AP$3)*$BA$5-$AP$3*$BB$5-$BC$5)*12-AT29,IF(M29*$BE$3&lt;=$AZ$6,M29*$BE$3*($AR$3*$AT$3+AS$3*$AU$3+$AP$3*$AQ$3-(1-$AP$3)*$BA$6-$AP$3*$BB$6-$BC$6)*12-AT29))))</f>
        <v>1216269.8269999991</v>
      </c>
      <c r="BD29" s="311"/>
      <c r="BE29" s="312">
        <f>0.03*(D29-F29-H29)</f>
        <v>1384122</v>
      </c>
      <c r="BF29" s="313">
        <f>(BE29/(M29*$BE$3))/12</f>
        <v>13.090790438133972</v>
      </c>
      <c r="BG29" s="313">
        <f>AV29+BF29</f>
        <v>72.09079043813398</v>
      </c>
      <c r="BH29" s="314">
        <f>((BE29/'Assessed Value'!E25)*'Assessed Value'!G25)/12</f>
        <v>24.404948006348565</v>
      </c>
      <c r="BI29" s="315"/>
      <c r="BJ29" s="316">
        <f>SUM(BJ10:BJ28)</f>
        <v>3589688.8888888895</v>
      </c>
      <c r="BK29" s="316">
        <f>BJ29/(12*$BE$3*M29)</f>
        <v>33.95066690836677</v>
      </c>
      <c r="BL29" s="316">
        <f>AV29+BK29</f>
        <v>92.95066690836677</v>
      </c>
      <c r="BM29" s="316">
        <f>(BJ29/12/K29)</f>
        <v>15.580246913580249</v>
      </c>
      <c r="BN29" s="275"/>
      <c r="BO29" s="318">
        <f>(((BJ29+BE29)/'Assessed Value'!E25)*'Assessed Value'!G25)/12</f>
        <v>87.69862493099863</v>
      </c>
      <c r="BP29" s="318">
        <f>AV29+BF29+BK29</f>
        <v>106.04145734650075</v>
      </c>
      <c r="BQ29" s="318">
        <f>AV29</f>
        <v>59</v>
      </c>
    </row>
    <row r="30" spans="1:91" ht="16.5" customHeight="1">
      <c r="A30" s="9" t="s">
        <v>34</v>
      </c>
      <c r="B30" s="9">
        <f>VLOOKUP(C30,'Input Data'!$C$2:$D$38,2,FALSE)</f>
        <v>7</v>
      </c>
      <c r="C30" s="9" t="s">
        <v>6</v>
      </c>
      <c r="D30" s="10">
        <v>3550000</v>
      </c>
      <c r="E30" s="10">
        <v>690000</v>
      </c>
      <c r="F30" s="10">
        <v>610000</v>
      </c>
      <c r="G30" s="10">
        <v>2250000</v>
      </c>
      <c r="H30" s="10">
        <f aca="true" t="shared" si="23" ref="H30:H48">J30*450</f>
        <v>810900</v>
      </c>
      <c r="I30" s="11">
        <v>381843</v>
      </c>
      <c r="J30" s="11">
        <v>1802</v>
      </c>
      <c r="K30" s="12">
        <v>797</v>
      </c>
      <c r="L30" s="12">
        <v>66</v>
      </c>
      <c r="M30" s="12">
        <f aca="true" t="shared" si="24" ref="M30:M49">(K30-L30)+(L30*7/12)</f>
        <v>769.5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23">
        <f aca="true" t="shared" si="25" ref="AP30:AP48">442*I30/5280</f>
        <v>31964.8875</v>
      </c>
      <c r="AQ30" s="23">
        <f aca="true" t="shared" si="26" ref="AQ30:AQ48">J30*17</f>
        <v>30634</v>
      </c>
      <c r="AR30" s="23">
        <f>39*K30</f>
        <v>31083</v>
      </c>
      <c r="AS30" s="23">
        <v>28800</v>
      </c>
      <c r="AT30" s="23">
        <f aca="true" t="shared" si="27" ref="AT30:AT49">(AP30+AQ30+AR30+AS30)*1.1</f>
        <v>134730.07625</v>
      </c>
      <c r="AU30" s="23">
        <f aca="true" t="shared" si="28" ref="AU30:AU49">AT30/12/($BE$3*M30)</f>
        <v>29.18130306476067</v>
      </c>
      <c r="AV30" s="24">
        <f aca="true" t="shared" si="29" ref="AV30:AV49">$AP$3*$AQ$3+$AR$3*$AT$3+$AS$3*$AU$3</f>
        <v>59</v>
      </c>
      <c r="AW30" s="72">
        <f aca="true" t="shared" si="30" ref="AW30:AW49">AT30/((AV30-$AW$3-$AP$3*$AX$3)*12)</f>
        <v>590.9213870614036</v>
      </c>
      <c r="AX30" s="73">
        <f aca="true" t="shared" si="31" ref="AX30:AX49">AW30/M30</f>
        <v>0.7679290280200177</v>
      </c>
      <c r="AY30" s="81">
        <f aca="true" t="shared" si="32" ref="AY30:AY49">(AV30-AU30-$AW$3-$AP$3*$AX$3)*M30*$BE$3*12</f>
        <v>-47007.07625000001</v>
      </c>
      <c r="BA30" s="78">
        <f aca="true" t="shared" si="33" ref="BA30:BA49">AT30/((AV30-(1-$AP$3)*$BA$3-$AP$3*$BB$3-$BC$3)*12)</f>
        <v>358.7062732960597</v>
      </c>
      <c r="BB30" s="79">
        <f aca="true" t="shared" si="34" ref="BB30:BB49">BA30/M30</f>
        <v>0.4661550010345155</v>
      </c>
      <c r="BC30" s="85">
        <f aca="true" t="shared" si="35" ref="BC30:BC49">IF(M30*$BE$3&lt;=$AZ$3,M30*$BE$3*($AR$3*$AT$3+AS$3*$AU$3+$AP$3*$AQ$3-(1-$AP$3)*$BA$3-$AP$3*$BB$3-$BC$3)*12-AT30,IF(M30*$BE$3&lt;=$AZ$4,M30*$BE$3*($AR$3*$AT$3+AS$3*$AU$3+$AP$3*$AQ$3-(1-$AP$3)*$BA$4-$AP$3*$BB$4-$BC$4)*12-AT30,IF(M30*$BE$3&lt;=$AZ$5,M30*$BE$3*($AR$3*$AT$3+AS$3*$AU$3+$AP$3*$AQ$3-(1-$AP$3)*$BA$5-$AP$3*$BB$5-$BC$5)*12-AT30,IF(M30*$BE$3&lt;=$AZ$6,M30*$BE$3*($AR$3*$AT$3+AS$3*$AU$3+$AP$3*$AQ$3-(1-$AP$3)*$BA$6-$AP$3*$BB$6-$BC$6)*12-AT30))))</f>
        <v>9782.023749999964</v>
      </c>
      <c r="BE30" s="101">
        <f aca="true" t="shared" si="36" ref="BE30:BE49">0.03*(D30-F30-H30)</f>
        <v>63873</v>
      </c>
      <c r="BF30" s="55">
        <f aca="true" t="shared" si="37" ref="BF30:BF49">(BE30/(M30*$BE$3))/12</f>
        <v>13.83430799220273</v>
      </c>
      <c r="BG30" s="55">
        <f aca="true" t="shared" si="38" ref="BG30:BG49">AV30+BF30</f>
        <v>72.83430799220272</v>
      </c>
      <c r="BH30" s="102">
        <f>((BE30/'Assessed Value'!E26)*'Assessed Value'!G26)/12</f>
        <v>5.557465527565797</v>
      </c>
      <c r="BI30" s="84"/>
      <c r="BJ30" s="107">
        <f>'Debt Service'!K53</f>
        <v>160000</v>
      </c>
      <c r="BK30" s="107">
        <f aca="true" t="shared" si="39" ref="BK30:BK49">BJ30/(12*$BE$3*M30)</f>
        <v>34.65453757851419</v>
      </c>
      <c r="BL30" s="107">
        <f aca="true" t="shared" si="40" ref="BL30:BL49">AV30+BK30</f>
        <v>93.65453757851418</v>
      </c>
      <c r="BM30" s="107">
        <f aca="true" t="shared" si="41" ref="BM30:BM49">(BJ30/12/K30)</f>
        <v>16.729401923881223</v>
      </c>
      <c r="BN30" s="24"/>
      <c r="BO30" s="58">
        <f>(((BJ30+BE30)/'Assessed Value'!E26)*'Assessed Value'!G26)/12</f>
        <v>19.47875440409465</v>
      </c>
      <c r="BP30" s="58">
        <f aca="true" t="shared" si="42" ref="BP30:BP49">AV30+BF30+BK30</f>
        <v>107.4888455707169</v>
      </c>
      <c r="BQ30" s="58">
        <f aca="true" t="shared" si="43" ref="BQ30:BQ49">AV30</f>
        <v>59</v>
      </c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J30"/>
      <c r="CK30"/>
      <c r="CL30"/>
      <c r="CM30"/>
    </row>
    <row r="31" spans="1:91" ht="16.5" customHeight="1">
      <c r="A31" s="9" t="s">
        <v>34</v>
      </c>
      <c r="B31" s="9">
        <f>VLOOKUP(C31,'Input Data'!$C$2:$D$38,2,FALSE)</f>
        <v>9</v>
      </c>
      <c r="C31" s="9" t="s">
        <v>8</v>
      </c>
      <c r="D31" s="10">
        <v>2940000</v>
      </c>
      <c r="E31" s="10">
        <v>660000</v>
      </c>
      <c r="F31" s="10">
        <v>410000</v>
      </c>
      <c r="G31" s="10">
        <v>1870000</v>
      </c>
      <c r="H31" s="10">
        <f t="shared" si="23"/>
        <v>826650</v>
      </c>
      <c r="I31" s="11">
        <v>295465</v>
      </c>
      <c r="J31" s="11">
        <v>1837</v>
      </c>
      <c r="K31" s="12">
        <v>921</v>
      </c>
      <c r="L31" s="12">
        <v>325</v>
      </c>
      <c r="M31" s="12">
        <f t="shared" si="24"/>
        <v>785.5833333333334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23">
        <f t="shared" si="25"/>
        <v>24734.001893939392</v>
      </c>
      <c r="AQ31" s="23">
        <f t="shared" si="26"/>
        <v>31229</v>
      </c>
      <c r="AR31" s="23">
        <f aca="true" t="shared" si="44" ref="AR31:AR48">39*K31</f>
        <v>35919</v>
      </c>
      <c r="AS31" s="23">
        <v>28800</v>
      </c>
      <c r="AT31" s="23">
        <f t="shared" si="27"/>
        <v>132750.20208333334</v>
      </c>
      <c r="AU31" s="23">
        <f t="shared" si="28"/>
        <v>28.163827746543614</v>
      </c>
      <c r="AV31" s="24">
        <f t="shared" si="29"/>
        <v>59</v>
      </c>
      <c r="AW31" s="72">
        <f t="shared" si="30"/>
        <v>582.2377284356726</v>
      </c>
      <c r="AX31" s="73">
        <f t="shared" si="31"/>
        <v>0.7411533617511479</v>
      </c>
      <c r="AY31" s="81">
        <f t="shared" si="32"/>
        <v>-43193.70208333333</v>
      </c>
      <c r="BA31" s="78">
        <f t="shared" si="33"/>
        <v>353.43504282037634</v>
      </c>
      <c r="BB31" s="79">
        <f t="shared" si="34"/>
        <v>0.44990140170197473</v>
      </c>
      <c r="BC31" s="85">
        <f t="shared" si="35"/>
        <v>14782.347916666651</v>
      </c>
      <c r="BE31" s="101">
        <f t="shared" si="36"/>
        <v>51100.5</v>
      </c>
      <c r="BF31" s="55">
        <f t="shared" si="37"/>
        <v>10.841306884480746</v>
      </c>
      <c r="BG31" s="55">
        <f t="shared" si="38"/>
        <v>69.84130688448074</v>
      </c>
      <c r="BH31" s="102">
        <f>((BE31/'Assessed Value'!E27)*'Assessed Value'!G27)/12</f>
        <v>4.368848312448708</v>
      </c>
      <c r="BI31" s="84"/>
      <c r="BJ31" s="107">
        <f>'Debt Service'!K69</f>
        <v>132977.77777777778</v>
      </c>
      <c r="BK31" s="107">
        <f t="shared" si="39"/>
        <v>28.212109425645014</v>
      </c>
      <c r="BL31" s="107">
        <f t="shared" si="40"/>
        <v>87.21210942564501</v>
      </c>
      <c r="BM31" s="107">
        <f t="shared" si="41"/>
        <v>12.032010294768167</v>
      </c>
      <c r="BN31" s="24"/>
      <c r="BO31" s="58">
        <f>(((BJ31+BE31)/'Assessed Value'!E27)*'Assessed Value'!G27)/12</f>
        <v>15.73781221764775</v>
      </c>
      <c r="BP31" s="58">
        <f t="shared" si="42"/>
        <v>98.05341631012575</v>
      </c>
      <c r="BQ31" s="58">
        <f t="shared" si="43"/>
        <v>59</v>
      </c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J31"/>
      <c r="CK31"/>
      <c r="CL31"/>
      <c r="CM31"/>
    </row>
    <row r="32" spans="1:91" ht="16.5" customHeight="1">
      <c r="A32" s="9" t="s">
        <v>33</v>
      </c>
      <c r="B32" s="9">
        <f>VLOOKUP(C32,'Input Data'!$C$2:$D$38,2,FALSE)</f>
        <v>17</v>
      </c>
      <c r="C32" s="9" t="s">
        <v>12</v>
      </c>
      <c r="D32" s="10">
        <v>3100000</v>
      </c>
      <c r="E32" s="10">
        <v>680000</v>
      </c>
      <c r="F32" s="10">
        <v>460000</v>
      </c>
      <c r="G32" s="10">
        <v>1960000</v>
      </c>
      <c r="H32" s="10">
        <f>J32*450</f>
        <v>903600</v>
      </c>
      <c r="I32" s="11">
        <v>330344</v>
      </c>
      <c r="J32" s="11">
        <v>2008</v>
      </c>
      <c r="K32" s="12">
        <v>928</v>
      </c>
      <c r="L32" s="12">
        <v>463</v>
      </c>
      <c r="M32" s="12">
        <f>(K32-L32)+(L32*7/12)</f>
        <v>735.0833333333333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23">
        <f>442*I32/5280</f>
        <v>27653.79696969697</v>
      </c>
      <c r="AQ32" s="23">
        <f>J32*17</f>
        <v>34136</v>
      </c>
      <c r="AR32" s="23">
        <f>39*K32</f>
        <v>36192</v>
      </c>
      <c r="AS32" s="23">
        <v>28800</v>
      </c>
      <c r="AT32" s="23">
        <f>(AP32+AQ32+AR32+AS32)*1.1</f>
        <v>139459.97666666668</v>
      </c>
      <c r="AU32" s="23">
        <f>AT32/12/($BE$3*M32)</f>
        <v>31.619992442277905</v>
      </c>
      <c r="AV32" s="24">
        <f>$AP$3*$AQ$3+$AR$3*$AT$3+$AS$3*$AU$3</f>
        <v>59</v>
      </c>
      <c r="AW32" s="72">
        <f>AT32/((AV32-$AW$3-$AP$3*$AX$3)*12)</f>
        <v>611.6665643274855</v>
      </c>
      <c r="AX32" s="73">
        <f>AW32/M32</f>
        <v>0.8321050642704713</v>
      </c>
      <c r="AY32" s="81">
        <f>(AV32-AU32-$AW$3-$AP$3*$AX$3)*M32*$BE$3*12</f>
        <v>-55660.47666666669</v>
      </c>
      <c r="BA32" s="78">
        <f>AT32/((AV32-(1-$AP$3)*$BA$3-$AP$3*$BB$3-$BC$3)*12)</f>
        <v>371.299192403266</v>
      </c>
      <c r="BB32" s="79">
        <f>BA32/M32</f>
        <v>0.5051117003558772</v>
      </c>
      <c r="BC32" s="85">
        <f>IF(M32*$BE$3&lt;=$AZ$3,M32*$BE$3*($AR$3*$AT$3+AS$3*$AU$3+$AP$3*$AQ$3-(1-$AP$3)*$BA$3-$AP$3*$BB$3-$BC$3)*12-AT32,IF(M32*$BE$3&lt;=$AZ$4,M32*$BE$3*($AR$3*$AT$3+AS$3*$AU$3+$AP$3*$AQ$3-(1-$AP$3)*$BA$4-$AP$3*$BB$4-$BC$4)*12-AT32,IF(M32*$BE$3&lt;=$AZ$5,M32*$BE$3*($AR$3*$AT$3+AS$3*$AU$3+$AP$3*$AQ$3-(1-$AP$3)*$BA$5-$AP$3*$BB$5-$BC$5)*12-AT32,IF(M32*$BE$3&lt;=$AZ$6,M32*$BE$3*($AR$3*$AT$3+AS$3*$AU$3+$AP$3*$AQ$3-(1-$AP$3)*$BA$6-$AP$3*$BB$6-$BC$6)*12-AT32))))</f>
        <v>-1411.3266666667187</v>
      </c>
      <c r="BE32" s="101">
        <f>0.03*(D32-F32-H32)</f>
        <v>52092</v>
      </c>
      <c r="BF32" s="55">
        <f>(BE32/(M32*$BE$3))/12</f>
        <v>11.810905792993992</v>
      </c>
      <c r="BG32" s="55">
        <f>AV32+BF32</f>
        <v>70.81090579299399</v>
      </c>
      <c r="BH32" s="102">
        <f>((BE32/'Assessed Value'!E21)*'Assessed Value'!G21)/12</f>
        <v>4.5003862067405835</v>
      </c>
      <c r="BI32" s="84"/>
      <c r="BJ32" s="107">
        <f>'Debt Service'!K101</f>
        <v>139377.77777777778</v>
      </c>
      <c r="BK32" s="107">
        <f>BJ32/(12*$BE$3*M32)</f>
        <v>31.60135535149706</v>
      </c>
      <c r="BL32" s="107">
        <f>AV32+BK32</f>
        <v>90.60135535149706</v>
      </c>
      <c r="BM32" s="107">
        <f>(BJ32/12/K32)</f>
        <v>12.515964240102171</v>
      </c>
      <c r="BN32" s="24"/>
      <c r="BO32" s="58">
        <f>(((BJ32+BE32)/'Assessed Value'!E21)*'Assessed Value'!G21)/12</f>
        <v>16.541656049274277</v>
      </c>
      <c r="BP32" s="58">
        <f>AV32+BF32+BK32</f>
        <v>102.41226114449105</v>
      </c>
      <c r="BQ32" s="58">
        <f>AV32</f>
        <v>59</v>
      </c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J32"/>
      <c r="CK32"/>
      <c r="CL32"/>
      <c r="CM32"/>
    </row>
    <row r="33" spans="1:91" ht="16.5" customHeight="1">
      <c r="A33" s="9" t="s">
        <v>33</v>
      </c>
      <c r="B33" s="9">
        <f>VLOOKUP(C33,'Input Data'!$C$2:$D$38,2,FALSE)</f>
        <v>28</v>
      </c>
      <c r="C33" s="9" t="s">
        <v>19</v>
      </c>
      <c r="D33" s="10">
        <v>3610000</v>
      </c>
      <c r="E33" s="10">
        <v>620000</v>
      </c>
      <c r="F33" s="10">
        <v>610000</v>
      </c>
      <c r="G33" s="10">
        <v>2380000</v>
      </c>
      <c r="H33" s="10">
        <f>J33*450</f>
        <v>792900</v>
      </c>
      <c r="I33" s="11">
        <v>376125</v>
      </c>
      <c r="J33" s="11">
        <v>1762</v>
      </c>
      <c r="K33" s="12">
        <v>671</v>
      </c>
      <c r="L33" s="12">
        <v>270</v>
      </c>
      <c r="M33" s="12">
        <f>(K33-L33)+(L33*7/12)</f>
        <v>558.5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23">
        <f>442*I33/5280</f>
        <v>31486.221590909092</v>
      </c>
      <c r="AQ33" s="23">
        <f>J33*17</f>
        <v>29954</v>
      </c>
      <c r="AR33" s="23">
        <f>39*K33</f>
        <v>26169</v>
      </c>
      <c r="AS33" s="23">
        <v>28800</v>
      </c>
      <c r="AT33" s="23">
        <f>(AP33+AQ33+AR33+AS33)*1.1</f>
        <v>128050.14375</v>
      </c>
      <c r="AU33" s="23">
        <f>AT33/12/($BE$3*M33)</f>
        <v>38.212516786034016</v>
      </c>
      <c r="AV33" s="24">
        <f>$AP$3*$AQ$3+$AR$3*$AT$3+$AS$3*$AU$3</f>
        <v>59</v>
      </c>
      <c r="AW33" s="72">
        <f>AT33/((AV33-$AW$3-$AP$3*$AX$3)*12)</f>
        <v>561.6234375</v>
      </c>
      <c r="AX33" s="73">
        <f>AW33/M33</f>
        <v>1.0055925470008953</v>
      </c>
      <c r="AY33" s="81">
        <f>(AV33-AU33-$AW$3-$AP$3*$AX$3)*M33*$BE$3*12</f>
        <v>-64381.14374999999</v>
      </c>
      <c r="BA33" s="78">
        <f>AT33/((AV33-(1-$AP$3)*$BA$3-$AP$3*$BB$3-$BC$3)*12)</f>
        <v>340.92157547923324</v>
      </c>
      <c r="BB33" s="79">
        <f>BA33/M33</f>
        <v>0.6104235908312144</v>
      </c>
      <c r="BC33" s="85">
        <f>IF(M33*$BE$3&lt;=$AZ$3,M33*$BE$3*($AR$3*$AT$3+AS$3*$AU$3+$AP$3*$AQ$3-(1-$AP$3)*$BA$3-$AP$3*$BB$3-$BC$3)*12-AT33,IF(M33*$BE$3&lt;=$AZ$4,M33*$BE$3*($AR$3*$AT$3+AS$3*$AU$3+$AP$3*$AQ$3-(1-$AP$3)*$BA$4-$AP$3*$BB$4-$BC$4)*12-AT33,IF(M33*$BE$3&lt;=$AZ$5,M33*$BE$3*($AR$3*$AT$3+AS$3*$AU$3+$AP$3*$AQ$3-(1-$AP$3)*$BA$5-$AP$3*$BB$5-$BC$5)*12-AT33,IF(M33*$BE$3&lt;=$AZ$6,M33*$BE$3*($AR$3*$AT$3+AS$3*$AU$3+$AP$3*$AQ$3-(1-$AP$3)*$BA$6-$AP$3*$BB$6-$BC$6)*12-AT33))))</f>
        <v>-23163.843750000015</v>
      </c>
      <c r="BE33" s="101">
        <f>0.03*(D33-F33-H33)</f>
        <v>66213</v>
      </c>
      <c r="BF33" s="55">
        <f>(BE33/(M33*$BE$3))/12</f>
        <v>19.7591763652641</v>
      </c>
      <c r="BG33" s="55">
        <f>AV33+BF33</f>
        <v>78.7591763652641</v>
      </c>
      <c r="BH33" s="102">
        <f>((BE33/'Assessed Value'!E22)*'Assessed Value'!G22)/12</f>
        <v>7.3947998818082175</v>
      </c>
      <c r="BI33" s="84"/>
      <c r="BJ33" s="107">
        <f>'Debt Service'!K165</f>
        <v>169244.44444444444</v>
      </c>
      <c r="BK33" s="107">
        <f>BJ33/(12*$BE$3*M33)</f>
        <v>50.505653370469844</v>
      </c>
      <c r="BL33" s="107">
        <f>AV33+BK33</f>
        <v>109.50565337046984</v>
      </c>
      <c r="BM33" s="107">
        <f>(BJ33/12/K33)</f>
        <v>21.01893249434233</v>
      </c>
      <c r="BN33" s="24"/>
      <c r="BO33" s="58">
        <f>(((BJ33+BE33)/'Assessed Value'!E22)*'Assessed Value'!G22)/12</f>
        <v>26.29635694423516</v>
      </c>
      <c r="BP33" s="58">
        <f>AV33+BF33+BK33</f>
        <v>129.26482973573394</v>
      </c>
      <c r="BQ33" s="58">
        <f>AV33</f>
        <v>59</v>
      </c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J33"/>
      <c r="CK33"/>
      <c r="CL33"/>
      <c r="CM33"/>
    </row>
    <row r="34" spans="1:91" ht="16.5" customHeight="1">
      <c r="A34" s="9" t="s">
        <v>34</v>
      </c>
      <c r="B34" s="9">
        <f>VLOOKUP(C34,'Input Data'!$C$2:$D$38,2,FALSE)</f>
        <v>20</v>
      </c>
      <c r="C34" s="9" t="s">
        <v>14</v>
      </c>
      <c r="D34" s="10">
        <v>4730000</v>
      </c>
      <c r="E34" s="10">
        <v>920000</v>
      </c>
      <c r="F34" s="10">
        <v>790000</v>
      </c>
      <c r="G34" s="10">
        <v>3020000</v>
      </c>
      <c r="H34" s="10">
        <f t="shared" si="23"/>
        <v>1268100</v>
      </c>
      <c r="I34" s="11">
        <v>510203</v>
      </c>
      <c r="J34" s="11">
        <v>2818</v>
      </c>
      <c r="K34" s="12">
        <v>1039</v>
      </c>
      <c r="L34" s="12">
        <v>347</v>
      </c>
      <c r="M34" s="12">
        <f t="shared" si="24"/>
        <v>894.4166666666666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23">
        <f t="shared" si="25"/>
        <v>42710.17537878788</v>
      </c>
      <c r="AQ34" s="23">
        <f t="shared" si="26"/>
        <v>47906</v>
      </c>
      <c r="AR34" s="23">
        <f t="shared" si="44"/>
        <v>40521</v>
      </c>
      <c r="AS34" s="23">
        <v>28800</v>
      </c>
      <c r="AT34" s="23">
        <f t="shared" si="27"/>
        <v>175930.8929166667</v>
      </c>
      <c r="AU34" s="23">
        <f t="shared" si="28"/>
        <v>32.7831720705612</v>
      </c>
      <c r="AV34" s="24">
        <f t="shared" si="29"/>
        <v>59</v>
      </c>
      <c r="AW34" s="72">
        <f t="shared" si="30"/>
        <v>771.6267233187135</v>
      </c>
      <c r="AX34" s="73">
        <f t="shared" si="31"/>
        <v>0.8627150544884526</v>
      </c>
      <c r="AY34" s="81">
        <f t="shared" si="32"/>
        <v>-73967.39291666668</v>
      </c>
      <c r="BA34" s="78">
        <f t="shared" si="33"/>
        <v>468.39960840433093</v>
      </c>
      <c r="BB34" s="79">
        <f t="shared" si="34"/>
        <v>0.5236928445776551</v>
      </c>
      <c r="BC34" s="85">
        <f t="shared" si="35"/>
        <v>-7959.44291666674</v>
      </c>
      <c r="BE34" s="101">
        <f t="shared" si="36"/>
        <v>80157</v>
      </c>
      <c r="BF34" s="55">
        <f t="shared" si="37"/>
        <v>14.936550824559768</v>
      </c>
      <c r="BG34" s="55">
        <f t="shared" si="38"/>
        <v>73.93655082455977</v>
      </c>
      <c r="BH34" s="102">
        <f>((BE34/'Assessed Value'!E28)*'Assessed Value'!G28)/12</f>
        <v>6.078220719287109</v>
      </c>
      <c r="BI34" s="84"/>
      <c r="BJ34" s="107">
        <f>'Debt Service'!K117</f>
        <v>214755.55555555556</v>
      </c>
      <c r="BK34" s="107">
        <f t="shared" si="39"/>
        <v>40.017805936002155</v>
      </c>
      <c r="BL34" s="107">
        <f t="shared" si="40"/>
        <v>99.01780593600216</v>
      </c>
      <c r="BM34" s="107">
        <f t="shared" si="41"/>
        <v>17.224539264962747</v>
      </c>
      <c r="BN34" s="24"/>
      <c r="BO34" s="58">
        <f>(((BJ34+BE34)/'Assessed Value'!E28)*'Assessed Value'!G28)/12</f>
        <v>22.36290786276543</v>
      </c>
      <c r="BP34" s="58">
        <f t="shared" si="42"/>
        <v>113.95435676056192</v>
      </c>
      <c r="BQ34" s="58">
        <f t="shared" si="43"/>
        <v>59</v>
      </c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J34"/>
      <c r="CK34"/>
      <c r="CL34"/>
      <c r="CM34"/>
    </row>
    <row r="35" spans="1:91" ht="16.5" customHeight="1">
      <c r="A35" s="9" t="s">
        <v>34</v>
      </c>
      <c r="B35" s="9">
        <f>VLOOKUP(C35,'Input Data'!$C$2:$D$38,2,FALSE)</f>
        <v>31</v>
      </c>
      <c r="C35" s="9" t="s">
        <v>21</v>
      </c>
      <c r="D35" s="10">
        <v>2650000</v>
      </c>
      <c r="E35" s="10">
        <v>430000</v>
      </c>
      <c r="F35" s="10">
        <v>400000</v>
      </c>
      <c r="G35" s="10">
        <v>1820000</v>
      </c>
      <c r="H35" s="10">
        <f t="shared" si="23"/>
        <v>275850</v>
      </c>
      <c r="I35" s="11">
        <v>137234</v>
      </c>
      <c r="J35" s="11">
        <v>613</v>
      </c>
      <c r="K35" s="11">
        <v>510</v>
      </c>
      <c r="L35" s="11">
        <v>288</v>
      </c>
      <c r="M35" s="12">
        <f t="shared" si="24"/>
        <v>390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23">
        <f t="shared" si="25"/>
        <v>11488.149242424242</v>
      </c>
      <c r="AQ35" s="23">
        <f t="shared" si="26"/>
        <v>10421</v>
      </c>
      <c r="AR35" s="23">
        <f t="shared" si="44"/>
        <v>19890</v>
      </c>
      <c r="AS35" s="23">
        <v>28800</v>
      </c>
      <c r="AT35" s="23">
        <f t="shared" si="27"/>
        <v>77659.06416666668</v>
      </c>
      <c r="AU35" s="23">
        <f t="shared" si="28"/>
        <v>33.18763425925926</v>
      </c>
      <c r="AV35" s="24">
        <f t="shared" si="29"/>
        <v>59</v>
      </c>
      <c r="AW35" s="72">
        <f t="shared" si="30"/>
        <v>340.6099305555556</v>
      </c>
      <c r="AX35" s="73">
        <f t="shared" si="31"/>
        <v>0.8733587962962964</v>
      </c>
      <c r="AY35" s="81">
        <f t="shared" si="32"/>
        <v>-33199.06416666667</v>
      </c>
      <c r="BA35" s="78">
        <f t="shared" si="33"/>
        <v>206.76002174298904</v>
      </c>
      <c r="BB35" s="79">
        <f t="shared" si="34"/>
        <v>0.5301539019051001</v>
      </c>
      <c r="BC35" s="85">
        <f t="shared" si="35"/>
        <v>-4417.0641666666925</v>
      </c>
      <c r="BE35" s="101">
        <f t="shared" si="36"/>
        <v>59224.5</v>
      </c>
      <c r="BF35" s="55">
        <f t="shared" si="37"/>
        <v>25.309615384615384</v>
      </c>
      <c r="BG35" s="55">
        <f t="shared" si="38"/>
        <v>84.30961538461538</v>
      </c>
      <c r="BH35" s="102">
        <f>((BE35/'Assessed Value'!E29)*'Assessed Value'!G29)/12</f>
        <v>8.686250002198227</v>
      </c>
      <c r="BI35" s="84"/>
      <c r="BJ35" s="107">
        <f>'Debt Service'!K181</f>
        <v>129422.22222222222</v>
      </c>
      <c r="BK35" s="107">
        <f t="shared" si="39"/>
        <v>55.30864197530864</v>
      </c>
      <c r="BL35" s="107">
        <f t="shared" si="40"/>
        <v>114.30864197530863</v>
      </c>
      <c r="BM35" s="107">
        <f t="shared" si="41"/>
        <v>21.147421931735657</v>
      </c>
      <c r="BN35" s="24"/>
      <c r="BO35" s="58">
        <f>(((BJ35+BE35)/'Assessed Value'!E29)*'Assessed Value'!G29)/12</f>
        <v>27.668154080109844</v>
      </c>
      <c r="BP35" s="58">
        <f t="shared" si="42"/>
        <v>139.61825735992403</v>
      </c>
      <c r="BQ35" s="58">
        <f t="shared" si="43"/>
        <v>59</v>
      </c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J35"/>
      <c r="CK35"/>
      <c r="CL35"/>
      <c r="CM35"/>
    </row>
    <row r="36" spans="1:91" ht="16.5" customHeight="1">
      <c r="A36" s="9" t="s">
        <v>34</v>
      </c>
      <c r="B36" s="9">
        <f>VLOOKUP(C36,'Input Data'!$C$2:$D$38,2,FALSE)</f>
        <v>32</v>
      </c>
      <c r="C36" s="9" t="s">
        <v>90</v>
      </c>
      <c r="D36" s="120">
        <v>1380000</v>
      </c>
      <c r="E36" s="120">
        <v>220000</v>
      </c>
      <c r="F36" s="10">
        <v>260000</v>
      </c>
      <c r="G36" s="10">
        <f>+F36+E36+D36</f>
        <v>1860000</v>
      </c>
      <c r="H36" s="10">
        <f t="shared" si="23"/>
        <v>337500</v>
      </c>
      <c r="I36" s="5">
        <v>125488</v>
      </c>
      <c r="J36" s="5">
        <v>750</v>
      </c>
      <c r="K36" s="5">
        <v>280</v>
      </c>
      <c r="L36" s="5">
        <v>131</v>
      </c>
      <c r="M36" s="12">
        <f t="shared" si="24"/>
        <v>225.41666666666669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23">
        <f t="shared" si="25"/>
        <v>10504.866666666667</v>
      </c>
      <c r="AQ36" s="23">
        <f t="shared" si="26"/>
        <v>12750</v>
      </c>
      <c r="AR36" s="23">
        <f t="shared" si="44"/>
        <v>10920</v>
      </c>
      <c r="AS36" s="23">
        <v>28800</v>
      </c>
      <c r="AT36" s="23">
        <f>(AP36+AQ36+AR36+AS36)*1.1</f>
        <v>69272.35333333335</v>
      </c>
      <c r="AU36" s="23">
        <f t="shared" si="28"/>
        <v>51.21800616142946</v>
      </c>
      <c r="AV36" s="24">
        <f t="shared" si="29"/>
        <v>59</v>
      </c>
      <c r="AW36" s="72">
        <f t="shared" si="30"/>
        <v>303.8261111111112</v>
      </c>
      <c r="AX36" s="73">
        <f t="shared" si="31"/>
        <v>1.3478422674060384</v>
      </c>
      <c r="AY36" s="81">
        <f t="shared" si="32"/>
        <v>-43574.85333333335</v>
      </c>
      <c r="BA36" s="78">
        <f t="shared" si="33"/>
        <v>184.43118565850202</v>
      </c>
      <c r="BB36" s="79">
        <f t="shared" si="34"/>
        <v>0.8181790121634099</v>
      </c>
      <c r="BC36" s="85">
        <f t="shared" si="35"/>
        <v>-26939.103333333347</v>
      </c>
      <c r="BE36" s="101">
        <f t="shared" si="36"/>
        <v>23475</v>
      </c>
      <c r="BF36" s="55">
        <f t="shared" si="37"/>
        <v>17.356746765249536</v>
      </c>
      <c r="BG36" s="55">
        <f t="shared" si="38"/>
        <v>76.35674676524954</v>
      </c>
      <c r="BH36" s="102">
        <f>((BE36/'Assessed Value'!E30)*'Assessed Value'!G30)/12</f>
        <v>5.81474516188374</v>
      </c>
      <c r="BI36" s="84"/>
      <c r="BJ36" s="107">
        <f>'Debt Service'!K182</f>
        <v>43875</v>
      </c>
      <c r="BK36" s="107">
        <f t="shared" si="39"/>
        <v>32.43992606284658</v>
      </c>
      <c r="BL36" s="107">
        <f>AV36+BK36</f>
        <v>91.43992606284658</v>
      </c>
      <c r="BM36" s="107">
        <f t="shared" si="41"/>
        <v>13.058035714285714</v>
      </c>
      <c r="BN36" s="24"/>
      <c r="BO36" s="58">
        <f>(((BJ36+BE36)/'Assessed Value'!E30)*'Assessed Value'!G30)/12</f>
        <v>16.682559601826192</v>
      </c>
      <c r="BP36" s="58">
        <f t="shared" si="42"/>
        <v>108.79667282809612</v>
      </c>
      <c r="BQ36" s="58">
        <f>AV36</f>
        <v>59</v>
      </c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J36"/>
      <c r="CK36"/>
      <c r="CL36"/>
      <c r="CM36"/>
    </row>
    <row r="37" spans="1:91" ht="16.5" customHeight="1">
      <c r="A37" s="9" t="s">
        <v>34</v>
      </c>
      <c r="B37" s="9">
        <f>VLOOKUP(C37,'Input Data'!$C$2:$D$38,2,FALSE)</f>
        <v>33</v>
      </c>
      <c r="C37" s="9" t="s">
        <v>22</v>
      </c>
      <c r="D37" s="10">
        <v>2480000</v>
      </c>
      <c r="E37" s="10">
        <v>450000</v>
      </c>
      <c r="F37" s="10">
        <v>420000</v>
      </c>
      <c r="G37" s="10">
        <v>1610000</v>
      </c>
      <c r="H37" s="10">
        <f t="shared" si="23"/>
        <v>706500</v>
      </c>
      <c r="I37" s="11">
        <v>258480</v>
      </c>
      <c r="J37" s="11">
        <v>1570</v>
      </c>
      <c r="K37" s="12">
        <v>426</v>
      </c>
      <c r="L37" s="12">
        <v>63</v>
      </c>
      <c r="M37" s="12">
        <f t="shared" si="24"/>
        <v>399.75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23">
        <f t="shared" si="25"/>
        <v>21637.909090909092</v>
      </c>
      <c r="AQ37" s="23">
        <f t="shared" si="26"/>
        <v>26690</v>
      </c>
      <c r="AR37" s="23">
        <f t="shared" si="44"/>
        <v>16614</v>
      </c>
      <c r="AS37" s="23">
        <v>28800</v>
      </c>
      <c r="AT37" s="23">
        <f t="shared" si="27"/>
        <v>103116.1</v>
      </c>
      <c r="AU37" s="23">
        <f t="shared" si="28"/>
        <v>42.99191161142381</v>
      </c>
      <c r="AV37" s="24">
        <f t="shared" si="29"/>
        <v>59</v>
      </c>
      <c r="AW37" s="72">
        <f t="shared" si="30"/>
        <v>452.2635964912281</v>
      </c>
      <c r="AX37" s="73">
        <f t="shared" si="31"/>
        <v>1.1313660950374687</v>
      </c>
      <c r="AY37" s="81">
        <f t="shared" si="32"/>
        <v>-57544.600000000006</v>
      </c>
      <c r="BA37" s="78">
        <f t="shared" si="33"/>
        <v>274.5370074547391</v>
      </c>
      <c r="BB37" s="79">
        <f t="shared" si="34"/>
        <v>0.686771750981211</v>
      </c>
      <c r="BC37" s="85">
        <f t="shared" si="35"/>
        <v>-28043.050000000017</v>
      </c>
      <c r="BE37" s="101">
        <f t="shared" si="36"/>
        <v>40605</v>
      </c>
      <c r="BF37" s="55">
        <f t="shared" si="37"/>
        <v>16.929330831769857</v>
      </c>
      <c r="BG37" s="55">
        <f t="shared" si="38"/>
        <v>75.92933083176986</v>
      </c>
      <c r="BH37" s="102">
        <f>((BE37/'Assessed Value'!E31)*'Assessed Value'!G31)/12</f>
        <v>7.437154103850189</v>
      </c>
      <c r="BI37" s="84"/>
      <c r="BJ37" s="107">
        <f>'Debt Service'!K197</f>
        <v>114488.88888888888</v>
      </c>
      <c r="BK37" s="107">
        <f t="shared" si="39"/>
        <v>47.73353716443147</v>
      </c>
      <c r="BL37" s="107">
        <f t="shared" si="40"/>
        <v>106.73353716443147</v>
      </c>
      <c r="BM37" s="107">
        <f t="shared" si="41"/>
        <v>22.396105025213004</v>
      </c>
      <c r="BN37" s="24"/>
      <c r="BO37" s="58">
        <f>(((BJ37+BE37)/'Assessed Value'!E31)*'Assessed Value'!G31)/12</f>
        <v>28.406776314052085</v>
      </c>
      <c r="BP37" s="58">
        <f t="shared" si="42"/>
        <v>123.66286799620133</v>
      </c>
      <c r="BQ37" s="58">
        <f t="shared" si="43"/>
        <v>59</v>
      </c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J37"/>
      <c r="CK37"/>
      <c r="CL37"/>
      <c r="CM37"/>
    </row>
    <row r="38" spans="1:91" ht="16.5" customHeight="1">
      <c r="A38" s="9" t="s">
        <v>34</v>
      </c>
      <c r="B38" s="9">
        <f>VLOOKUP(C38,'Input Data'!$C$2:$D$38,2,FALSE)</f>
        <v>1</v>
      </c>
      <c r="C38" s="9" t="s">
        <v>137</v>
      </c>
      <c r="D38" s="150">
        <v>1310000</v>
      </c>
      <c r="E38" s="150">
        <v>270000</v>
      </c>
      <c r="F38" s="150">
        <v>210000</v>
      </c>
      <c r="G38" s="150">
        <v>830000</v>
      </c>
      <c r="H38" s="10">
        <f t="shared" si="23"/>
        <v>353250</v>
      </c>
      <c r="I38" s="5">
        <v>138608</v>
      </c>
      <c r="J38" s="5">
        <v>785</v>
      </c>
      <c r="K38" s="151">
        <v>342</v>
      </c>
      <c r="L38" s="151">
        <v>111</v>
      </c>
      <c r="M38" s="12">
        <f t="shared" si="24"/>
        <v>295.75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23">
        <f t="shared" si="25"/>
        <v>11603.169696969697</v>
      </c>
      <c r="AQ38" s="23">
        <f t="shared" si="26"/>
        <v>13345</v>
      </c>
      <c r="AR38" s="23">
        <f t="shared" si="44"/>
        <v>13338</v>
      </c>
      <c r="AS38" s="23">
        <v>28800</v>
      </c>
      <c r="AT38" s="23">
        <f t="shared" si="27"/>
        <v>73794.78666666667</v>
      </c>
      <c r="AU38" s="23">
        <f t="shared" si="28"/>
        <v>41.58624213393444</v>
      </c>
      <c r="AV38" s="24">
        <f t="shared" si="29"/>
        <v>59</v>
      </c>
      <c r="AW38" s="72">
        <f t="shared" si="30"/>
        <v>323.6613450292398</v>
      </c>
      <c r="AX38" s="73">
        <f t="shared" si="31"/>
        <v>1.0943747929982748</v>
      </c>
      <c r="AY38" s="81">
        <f t="shared" si="32"/>
        <v>-40079.28666666667</v>
      </c>
      <c r="BA38" s="78">
        <f t="shared" si="33"/>
        <v>196.4717429889954</v>
      </c>
      <c r="BB38" s="79">
        <f t="shared" si="34"/>
        <v>0.6643169669957579</v>
      </c>
      <c r="BC38" s="85">
        <f t="shared" si="35"/>
        <v>-18252.936666666676</v>
      </c>
      <c r="BE38" s="101">
        <f t="shared" si="36"/>
        <v>22402.5</v>
      </c>
      <c r="BF38" s="55">
        <f t="shared" si="37"/>
        <v>12.624683009298394</v>
      </c>
      <c r="BG38" s="55">
        <f t="shared" si="38"/>
        <v>71.6246830092984</v>
      </c>
      <c r="BH38" s="102">
        <f>((BE38/'Assessed Value'!E32)*'Assessed Value'!G32)/12</f>
        <v>5.331395188993675</v>
      </c>
      <c r="BI38" s="84"/>
      <c r="BJ38" s="107">
        <f>'Debt Service'!K245</f>
        <v>59022.22222222222</v>
      </c>
      <c r="BK38" s="107">
        <f t="shared" si="39"/>
        <v>33.26132556901788</v>
      </c>
      <c r="BL38" s="107">
        <f t="shared" si="40"/>
        <v>92.26132556901788</v>
      </c>
      <c r="BM38" s="107">
        <f t="shared" si="41"/>
        <v>14.381633095083387</v>
      </c>
      <c r="BN38" s="24"/>
      <c r="BO38" s="58">
        <f>(((BJ38+BE38)/'Assessed Value'!E32)*'Assessed Value'!G32)/12</f>
        <v>19.377630725173614</v>
      </c>
      <c r="BP38" s="58">
        <f t="shared" si="42"/>
        <v>104.88600857831628</v>
      </c>
      <c r="BQ38" s="58">
        <f t="shared" si="43"/>
        <v>59</v>
      </c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J38"/>
      <c r="CK38"/>
      <c r="CL38"/>
      <c r="CM38"/>
    </row>
    <row r="39" spans="1:91" ht="16.5" customHeight="1">
      <c r="A39" s="9" t="s">
        <v>34</v>
      </c>
      <c r="B39" s="9">
        <f>VLOOKUP(C39,'Input Data'!$C$2:$D$38,2,FALSE)</f>
        <v>10</v>
      </c>
      <c r="C39" s="9" t="s">
        <v>138</v>
      </c>
      <c r="D39" s="150">
        <v>1700000</v>
      </c>
      <c r="E39" s="150">
        <v>350000</v>
      </c>
      <c r="F39" s="150">
        <v>290000</v>
      </c>
      <c r="G39" s="150">
        <v>1060000</v>
      </c>
      <c r="H39" s="10">
        <f t="shared" si="23"/>
        <v>498600</v>
      </c>
      <c r="I39" s="5">
        <v>197170</v>
      </c>
      <c r="J39" s="5">
        <v>1108</v>
      </c>
      <c r="K39" s="151">
        <v>356</v>
      </c>
      <c r="L39" s="151">
        <v>21</v>
      </c>
      <c r="M39" s="12">
        <f t="shared" si="24"/>
        <v>347.25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23">
        <f t="shared" si="25"/>
        <v>16505.51893939394</v>
      </c>
      <c r="AQ39" s="23">
        <f t="shared" si="26"/>
        <v>18836</v>
      </c>
      <c r="AR39" s="23">
        <f t="shared" si="44"/>
        <v>13884</v>
      </c>
      <c r="AS39" s="23">
        <v>28800</v>
      </c>
      <c r="AT39" s="23">
        <f t="shared" si="27"/>
        <v>85828.07083333333</v>
      </c>
      <c r="AU39" s="23">
        <f t="shared" si="28"/>
        <v>41.19417846572274</v>
      </c>
      <c r="AV39" s="24">
        <f t="shared" si="29"/>
        <v>59</v>
      </c>
      <c r="AW39" s="72">
        <f t="shared" si="30"/>
        <v>376.43890716374267</v>
      </c>
      <c r="AX39" s="73">
        <f t="shared" si="31"/>
        <v>1.0840573280453352</v>
      </c>
      <c r="AY39" s="81">
        <f t="shared" si="32"/>
        <v>-46241.57083333334</v>
      </c>
      <c r="BA39" s="78">
        <f t="shared" si="33"/>
        <v>228.50924077032306</v>
      </c>
      <c r="BB39" s="79">
        <f t="shared" si="34"/>
        <v>0.6580539691010023</v>
      </c>
      <c r="BC39" s="85">
        <f t="shared" si="35"/>
        <v>-20614.520833333336</v>
      </c>
      <c r="BE39" s="101">
        <f t="shared" si="36"/>
        <v>27342</v>
      </c>
      <c r="BF39" s="55">
        <f t="shared" si="37"/>
        <v>13.123110151187904</v>
      </c>
      <c r="BG39" s="55">
        <f t="shared" si="38"/>
        <v>72.1231101511879</v>
      </c>
      <c r="BH39" s="102">
        <f>((BE39/'Assessed Value'!E33)*'Assessed Value'!G33)/12</f>
        <v>3.080564579120112</v>
      </c>
      <c r="BI39" s="84"/>
      <c r="BJ39" s="107">
        <f>'Debt Service'!K253</f>
        <v>75377.77777777778</v>
      </c>
      <c r="BK39" s="107">
        <f t="shared" si="39"/>
        <v>36.17843905820868</v>
      </c>
      <c r="BL39" s="107">
        <f t="shared" si="40"/>
        <v>95.17843905820868</v>
      </c>
      <c r="BM39" s="107">
        <f t="shared" si="41"/>
        <v>17.64461090303787</v>
      </c>
      <c r="BN39" s="24"/>
      <c r="BO39" s="58">
        <f>(((BJ39+BE39)/'Assessed Value'!E33)*'Assessed Value'!G33)/12</f>
        <v>11.573217357812576</v>
      </c>
      <c r="BP39" s="58">
        <f t="shared" si="42"/>
        <v>108.30154920939658</v>
      </c>
      <c r="BQ39" s="58">
        <f t="shared" si="43"/>
        <v>59</v>
      </c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J39"/>
      <c r="CK39"/>
      <c r="CL39"/>
      <c r="CM39"/>
    </row>
    <row r="40" spans="1:91" ht="16.5" customHeight="1">
      <c r="A40" s="9" t="s">
        <v>34</v>
      </c>
      <c r="B40" s="9">
        <f>VLOOKUP(C40,'Input Data'!$C$2:$D$38,2,FALSE)</f>
        <v>12</v>
      </c>
      <c r="C40" s="9" t="s">
        <v>139</v>
      </c>
      <c r="D40" s="150">
        <v>1540000</v>
      </c>
      <c r="E40" s="150">
        <v>250000</v>
      </c>
      <c r="F40" s="150">
        <v>270000</v>
      </c>
      <c r="G40" s="150">
        <v>1020000</v>
      </c>
      <c r="H40" s="10">
        <f t="shared" si="23"/>
        <v>374850</v>
      </c>
      <c r="I40" s="5">
        <v>152975</v>
      </c>
      <c r="J40" s="5">
        <v>833</v>
      </c>
      <c r="K40" s="151">
        <v>198</v>
      </c>
      <c r="L40" s="151">
        <v>61</v>
      </c>
      <c r="M40" s="12">
        <f t="shared" si="24"/>
        <v>172.58333333333334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23">
        <f t="shared" si="25"/>
        <v>12805.861742424242</v>
      </c>
      <c r="AQ40" s="23">
        <f t="shared" si="26"/>
        <v>14161</v>
      </c>
      <c r="AR40" s="23">
        <f t="shared" si="44"/>
        <v>7722</v>
      </c>
      <c r="AS40" s="23">
        <v>28800</v>
      </c>
      <c r="AT40" s="23">
        <f t="shared" si="27"/>
        <v>69837.74791666667</v>
      </c>
      <c r="AU40" s="23">
        <f t="shared" si="28"/>
        <v>67.4435035409625</v>
      </c>
      <c r="AV40" s="24">
        <f t="shared" si="29"/>
        <v>59</v>
      </c>
      <c r="AW40" s="72">
        <f t="shared" si="30"/>
        <v>306.3059119152047</v>
      </c>
      <c r="AX40" s="73">
        <f t="shared" si="31"/>
        <v>1.774829040551645</v>
      </c>
      <c r="AY40" s="81">
        <f t="shared" si="32"/>
        <v>-50163.24791666667</v>
      </c>
      <c r="BA40" s="78">
        <f t="shared" si="33"/>
        <v>185.93649605076325</v>
      </c>
      <c r="BB40" s="79">
        <f t="shared" si="34"/>
        <v>1.0773722610377396</v>
      </c>
      <c r="BC40" s="85">
        <f t="shared" si="35"/>
        <v>-37426.59791666667</v>
      </c>
      <c r="BE40" s="101">
        <f t="shared" si="36"/>
        <v>26854.5</v>
      </c>
      <c r="BF40" s="55">
        <f t="shared" si="37"/>
        <v>25.933848382423946</v>
      </c>
      <c r="BG40" s="55">
        <f t="shared" si="38"/>
        <v>84.93384838242395</v>
      </c>
      <c r="BH40" s="102">
        <f>((BE40/'Assessed Value'!E34)*'Assessed Value'!G34)/12</f>
        <v>10.168775055728483</v>
      </c>
      <c r="BI40" s="84"/>
      <c r="BJ40" s="107">
        <f>'Debt Service'!K261</f>
        <v>72533.33333333333</v>
      </c>
      <c r="BK40" s="107">
        <f t="shared" si="39"/>
        <v>70.0466763238371</v>
      </c>
      <c r="BL40" s="107">
        <f t="shared" si="40"/>
        <v>129.04667632383712</v>
      </c>
      <c r="BM40" s="107">
        <f t="shared" si="41"/>
        <v>30.52749719416386</v>
      </c>
      <c r="BN40" s="24"/>
      <c r="BO40" s="58">
        <f>(((BJ40+BE40)/'Assessed Value'!E34)*'Assessed Value'!G34)/12</f>
        <v>37.63438233602934</v>
      </c>
      <c r="BP40" s="58">
        <f t="shared" si="42"/>
        <v>154.98052470626106</v>
      </c>
      <c r="BQ40" s="58">
        <f t="shared" si="43"/>
        <v>59</v>
      </c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J40"/>
      <c r="CK40"/>
      <c r="CL40"/>
      <c r="CM40"/>
    </row>
    <row r="41" spans="1:91" ht="16.5" customHeight="1">
      <c r="A41" s="9" t="s">
        <v>34</v>
      </c>
      <c r="B41" s="9">
        <f>VLOOKUP(C41,'Input Data'!$C$2:$D$38,2,FALSE)</f>
        <v>15</v>
      </c>
      <c r="C41" s="9" t="s">
        <v>140</v>
      </c>
      <c r="D41" s="150">
        <v>1590000</v>
      </c>
      <c r="E41" s="150">
        <v>310000</v>
      </c>
      <c r="F41" s="150">
        <v>270000</v>
      </c>
      <c r="G41" s="150">
        <v>1010000</v>
      </c>
      <c r="H41" s="10">
        <f t="shared" si="23"/>
        <v>351450</v>
      </c>
      <c r="I41" s="5">
        <v>165239</v>
      </c>
      <c r="J41" s="5">
        <v>781</v>
      </c>
      <c r="K41" s="12">
        <v>279</v>
      </c>
      <c r="L41" s="151">
        <v>49</v>
      </c>
      <c r="M41" s="12">
        <f t="shared" si="24"/>
        <v>258.5833333333333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23">
        <f t="shared" si="25"/>
        <v>13832.507196969696</v>
      </c>
      <c r="AQ41" s="23">
        <f t="shared" si="26"/>
        <v>13277</v>
      </c>
      <c r="AR41" s="23">
        <f t="shared" si="44"/>
        <v>10881</v>
      </c>
      <c r="AS41" s="23">
        <v>28800</v>
      </c>
      <c r="AT41" s="23">
        <f t="shared" si="27"/>
        <v>73469.55791666667</v>
      </c>
      <c r="AU41" s="23">
        <f t="shared" si="28"/>
        <v>47.35388844129338</v>
      </c>
      <c r="AV41" s="24">
        <f t="shared" si="29"/>
        <v>59</v>
      </c>
      <c r="AW41" s="72">
        <f t="shared" si="30"/>
        <v>322.2349031432749</v>
      </c>
      <c r="AX41" s="73">
        <f t="shared" si="31"/>
        <v>1.2461549589814047</v>
      </c>
      <c r="AY41" s="81">
        <f t="shared" si="32"/>
        <v>-43991.05791666667</v>
      </c>
      <c r="BA41" s="78">
        <f t="shared" si="33"/>
        <v>195.60585174831385</v>
      </c>
      <c r="BB41" s="79">
        <f t="shared" si="34"/>
        <v>0.7564518920334407</v>
      </c>
      <c r="BC41" s="85">
        <f t="shared" si="35"/>
        <v>-24907.607916666682</v>
      </c>
      <c r="BE41" s="101">
        <f t="shared" si="36"/>
        <v>29056.5</v>
      </c>
      <c r="BF41" s="55">
        <f t="shared" si="37"/>
        <v>18.728005156300355</v>
      </c>
      <c r="BG41" s="55">
        <f t="shared" si="38"/>
        <v>77.72800515630036</v>
      </c>
      <c r="BH41" s="102">
        <f>((BE41/'Assessed Value'!E35)*'Assessed Value'!G35)/12</f>
        <v>7.97110627013016</v>
      </c>
      <c r="BI41" s="84"/>
      <c r="BJ41" s="107">
        <f>'Debt Service'!K269</f>
        <v>71822.22222222222</v>
      </c>
      <c r="BK41" s="107">
        <f t="shared" si="39"/>
        <v>46.29211873813872</v>
      </c>
      <c r="BL41" s="107">
        <f t="shared" si="40"/>
        <v>105.29211873813873</v>
      </c>
      <c r="BM41" s="107">
        <f t="shared" si="41"/>
        <v>21.452276649409267</v>
      </c>
      <c r="BN41" s="24"/>
      <c r="BO41" s="58">
        <f>(((BJ41+BE41)/'Assessed Value'!E35)*'Assessed Value'!G35)/12</f>
        <v>27.674187022809843</v>
      </c>
      <c r="BP41" s="58">
        <f t="shared" si="42"/>
        <v>124.02012389443908</v>
      </c>
      <c r="BQ41" s="58">
        <f t="shared" si="43"/>
        <v>59</v>
      </c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J41"/>
      <c r="CK41"/>
      <c r="CL41"/>
      <c r="CM41"/>
    </row>
    <row r="42" spans="1:91" ht="16.5" customHeight="1">
      <c r="A42" s="9" t="s">
        <v>34</v>
      </c>
      <c r="B42" s="9">
        <f>VLOOKUP(C42,'Input Data'!$C$2:$D$38,2,FALSE)</f>
        <v>16</v>
      </c>
      <c r="C42" s="9" t="s">
        <v>141</v>
      </c>
      <c r="D42" s="150">
        <v>1080000</v>
      </c>
      <c r="E42" s="150">
        <v>130000</v>
      </c>
      <c r="F42" s="150">
        <v>200000</v>
      </c>
      <c r="G42" s="150">
        <v>750000</v>
      </c>
      <c r="H42" s="10">
        <f t="shared" si="23"/>
        <v>126900</v>
      </c>
      <c r="I42" s="5">
        <v>61013</v>
      </c>
      <c r="J42" s="5">
        <v>282</v>
      </c>
      <c r="K42" s="151">
        <v>77</v>
      </c>
      <c r="L42" s="151">
        <v>13</v>
      </c>
      <c r="M42" s="12">
        <f t="shared" si="24"/>
        <v>71.58333333333333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23">
        <f t="shared" si="25"/>
        <v>5107.527651515152</v>
      </c>
      <c r="AQ42" s="23">
        <f t="shared" si="26"/>
        <v>4794</v>
      </c>
      <c r="AR42" s="23">
        <f t="shared" si="44"/>
        <v>3003</v>
      </c>
      <c r="AS42" s="23">
        <v>28800</v>
      </c>
      <c r="AT42" s="23">
        <f t="shared" si="27"/>
        <v>45874.980416666665</v>
      </c>
      <c r="AU42" s="23">
        <f t="shared" si="28"/>
        <v>106.81019887466046</v>
      </c>
      <c r="AV42" s="24">
        <f t="shared" si="29"/>
        <v>59</v>
      </c>
      <c r="AW42" s="72">
        <f t="shared" si="30"/>
        <v>201.20605445906432</v>
      </c>
      <c r="AX42" s="73">
        <f t="shared" si="31"/>
        <v>2.810794707227907</v>
      </c>
      <c r="AY42" s="81">
        <f t="shared" si="32"/>
        <v>-37714.48041666666</v>
      </c>
      <c r="BA42" s="78">
        <f t="shared" si="33"/>
        <v>122.1378605342563</v>
      </c>
      <c r="BB42" s="79">
        <f t="shared" si="34"/>
        <v>1.7062332088603909</v>
      </c>
      <c r="BC42" s="85">
        <f t="shared" si="35"/>
        <v>-32431.630416666667</v>
      </c>
      <c r="BE42" s="101">
        <f t="shared" si="36"/>
        <v>22593</v>
      </c>
      <c r="BF42" s="55">
        <f t="shared" si="37"/>
        <v>52.60302677532014</v>
      </c>
      <c r="BG42" s="55">
        <f t="shared" si="38"/>
        <v>111.60302677532013</v>
      </c>
      <c r="BH42" s="102">
        <f>((BE42/'Assessed Value'!E36)*'Assessed Value'!G36)/12</f>
        <v>9.1024402342193</v>
      </c>
      <c r="BI42" s="84"/>
      <c r="BJ42" s="107">
        <f>'Debt Service'!K277</f>
        <v>53333.333333333336</v>
      </c>
      <c r="BK42" s="107">
        <f t="shared" si="39"/>
        <v>124.17539774932092</v>
      </c>
      <c r="BL42" s="107">
        <f t="shared" si="40"/>
        <v>183.17539774932092</v>
      </c>
      <c r="BM42" s="107">
        <f t="shared" si="41"/>
        <v>57.72005772005772</v>
      </c>
      <c r="BN42" s="24"/>
      <c r="BO42" s="58">
        <f>(((BJ42+BE42)/'Assessed Value'!E36)*'Assessed Value'!G36)/12</f>
        <v>30.58978052361702</v>
      </c>
      <c r="BP42" s="58">
        <f t="shared" si="42"/>
        <v>235.77842452464105</v>
      </c>
      <c r="BQ42" s="58">
        <f t="shared" si="43"/>
        <v>59</v>
      </c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J42"/>
      <c r="CK42"/>
      <c r="CL42"/>
      <c r="CM42"/>
    </row>
    <row r="43" spans="1:91" ht="16.5" customHeight="1">
      <c r="A43" s="9" t="s">
        <v>34</v>
      </c>
      <c r="B43" s="9">
        <f>VLOOKUP(C43,'Input Data'!$C$2:$D$38,2,FALSE)</f>
        <v>18</v>
      </c>
      <c r="C43" s="9" t="s">
        <v>142</v>
      </c>
      <c r="D43" s="150">
        <v>1250000</v>
      </c>
      <c r="E43" s="150">
        <v>230000</v>
      </c>
      <c r="F43" s="150">
        <v>220000</v>
      </c>
      <c r="G43" s="150">
        <v>800000</v>
      </c>
      <c r="H43" s="10">
        <f t="shared" si="23"/>
        <v>283500</v>
      </c>
      <c r="I43" s="5">
        <v>119655</v>
      </c>
      <c r="J43" s="5">
        <v>630</v>
      </c>
      <c r="K43" s="151">
        <v>148</v>
      </c>
      <c r="L43" s="12">
        <v>68</v>
      </c>
      <c r="M43" s="12">
        <f t="shared" si="24"/>
        <v>119.66666666666666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23">
        <f t="shared" si="25"/>
        <v>10016.573863636364</v>
      </c>
      <c r="AQ43" s="23">
        <f t="shared" si="26"/>
        <v>10710</v>
      </c>
      <c r="AR43" s="23">
        <f t="shared" si="44"/>
        <v>5772</v>
      </c>
      <c r="AS43" s="23">
        <v>28800</v>
      </c>
      <c r="AT43" s="23">
        <f t="shared" si="27"/>
        <v>60828.43125000001</v>
      </c>
      <c r="AU43" s="23">
        <f t="shared" si="28"/>
        <v>84.7192635793872</v>
      </c>
      <c r="AV43" s="24">
        <f t="shared" si="29"/>
        <v>59</v>
      </c>
      <c r="AW43" s="72">
        <f t="shared" si="30"/>
        <v>266.79136513157897</v>
      </c>
      <c r="AX43" s="73">
        <f t="shared" si="31"/>
        <v>2.229454304720716</v>
      </c>
      <c r="AY43" s="81">
        <f t="shared" si="32"/>
        <v>-47186.43125000001</v>
      </c>
      <c r="BA43" s="78">
        <f t="shared" si="33"/>
        <v>161.9500299520767</v>
      </c>
      <c r="BB43" s="79">
        <f t="shared" si="34"/>
        <v>1.3533428686803068</v>
      </c>
      <c r="BC43" s="85">
        <f t="shared" si="35"/>
        <v>-38355.031250000015</v>
      </c>
      <c r="BE43" s="101">
        <f t="shared" si="36"/>
        <v>22395</v>
      </c>
      <c r="BF43" s="55">
        <f t="shared" si="37"/>
        <v>31.190807799442897</v>
      </c>
      <c r="BG43" s="55">
        <f t="shared" si="38"/>
        <v>90.1908077994429</v>
      </c>
      <c r="BH43" s="102">
        <f>((BE43/'Assessed Value'!E37)*'Assessed Value'!G37)/12</f>
        <v>12.240989621333222</v>
      </c>
      <c r="BI43" s="84"/>
      <c r="BJ43" s="107">
        <f>'Debt Service'!K285</f>
        <v>56888.88888888889</v>
      </c>
      <c r="BK43" s="107">
        <f t="shared" si="39"/>
        <v>79.23243577839678</v>
      </c>
      <c r="BL43" s="107">
        <f t="shared" si="40"/>
        <v>138.2324357783968</v>
      </c>
      <c r="BM43" s="107">
        <f t="shared" si="41"/>
        <v>32.032032032032035</v>
      </c>
      <c r="BN43" s="24"/>
      <c r="BO43" s="58">
        <f>(((BJ43+BE43)/'Assessed Value'!E37)*'Assessed Value'!G37)/12</f>
        <v>43.336158116893294</v>
      </c>
      <c r="BP43" s="58">
        <f t="shared" si="42"/>
        <v>169.42324357783968</v>
      </c>
      <c r="BQ43" s="58">
        <f t="shared" si="43"/>
        <v>59</v>
      </c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J43"/>
      <c r="CK43"/>
      <c r="CL43"/>
      <c r="CM43"/>
    </row>
    <row r="44" spans="1:91" ht="16.5" customHeight="1">
      <c r="A44" s="9" t="s">
        <v>34</v>
      </c>
      <c r="B44" s="9">
        <f>VLOOKUP(C44,'Input Data'!$C$2:$D$38,2,FALSE)</f>
        <v>22</v>
      </c>
      <c r="C44" s="9" t="s">
        <v>89</v>
      </c>
      <c r="D44" s="150">
        <v>4870000</v>
      </c>
      <c r="E44" s="150">
        <v>1080000</v>
      </c>
      <c r="F44" s="150">
        <v>690000</v>
      </c>
      <c r="G44" s="150">
        <v>3100000</v>
      </c>
      <c r="H44" s="10">
        <f t="shared" si="23"/>
        <v>1089450</v>
      </c>
      <c r="I44" s="5">
        <v>427329</v>
      </c>
      <c r="J44" s="5">
        <v>2421</v>
      </c>
      <c r="K44" s="151">
        <v>1701</v>
      </c>
      <c r="L44" s="151">
        <v>938</v>
      </c>
      <c r="M44" s="12">
        <f t="shared" si="24"/>
        <v>1310.1666666666665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23">
        <f t="shared" si="25"/>
        <v>35772.61704545454</v>
      </c>
      <c r="AQ44" s="23">
        <f t="shared" si="26"/>
        <v>41157</v>
      </c>
      <c r="AR44" s="23">
        <f t="shared" si="44"/>
        <v>66339</v>
      </c>
      <c r="AS44" s="23">
        <v>28800</v>
      </c>
      <c r="AT44" s="23">
        <f t="shared" si="27"/>
        <v>189275.47875</v>
      </c>
      <c r="AU44" s="23">
        <f t="shared" si="28"/>
        <v>24.07778638213968</v>
      </c>
      <c r="AV44" s="24">
        <f t="shared" si="29"/>
        <v>59</v>
      </c>
      <c r="AW44" s="72">
        <f t="shared" si="30"/>
        <v>830.1556085526316</v>
      </c>
      <c r="AX44" s="73">
        <f t="shared" si="31"/>
        <v>0.6336259574247285</v>
      </c>
      <c r="AY44" s="81">
        <f t="shared" si="32"/>
        <v>-39916.47875</v>
      </c>
      <c r="BA44" s="78">
        <f t="shared" si="33"/>
        <v>503.92832468051125</v>
      </c>
      <c r="BB44" s="79">
        <f t="shared" si="34"/>
        <v>0.38462917543354125</v>
      </c>
      <c r="BC44" s="85">
        <f t="shared" si="35"/>
        <v>56773.82124999995</v>
      </c>
      <c r="BE44" s="101">
        <f t="shared" si="36"/>
        <v>92716.5</v>
      </c>
      <c r="BF44" s="55">
        <f t="shared" si="37"/>
        <v>11.794491794937032</v>
      </c>
      <c r="BG44" s="55">
        <f t="shared" si="38"/>
        <v>70.79449179493703</v>
      </c>
      <c r="BH44" s="102">
        <f>((BE44/'Assessed Value'!E38)*'Assessed Value'!G38)/12</f>
        <v>4.237357370260941</v>
      </c>
      <c r="BI44" s="84"/>
      <c r="BJ44" s="107">
        <f>'Debt Service'!K293</f>
        <v>220444.44444444444</v>
      </c>
      <c r="BK44" s="107">
        <f t="shared" si="39"/>
        <v>28.04279919150801</v>
      </c>
      <c r="BL44" s="107">
        <f t="shared" si="40"/>
        <v>87.04279919150801</v>
      </c>
      <c r="BM44" s="107">
        <f t="shared" si="41"/>
        <v>10.799747425261828</v>
      </c>
      <c r="BN44" s="24"/>
      <c r="BO44" s="58">
        <f>(((BJ44+BE44)/'Assessed Value'!E38)*'Assessed Value'!G38)/12</f>
        <v>14.31217567552209</v>
      </c>
      <c r="BP44" s="58">
        <f t="shared" si="42"/>
        <v>98.83729098644504</v>
      </c>
      <c r="BQ44" s="58">
        <f t="shared" si="43"/>
        <v>59</v>
      </c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J44"/>
      <c r="CK44"/>
      <c r="CL44"/>
      <c r="CM44"/>
    </row>
    <row r="45" spans="1:91" ht="16.5" customHeight="1">
      <c r="A45" s="9" t="s">
        <v>32</v>
      </c>
      <c r="B45" s="9">
        <f>VLOOKUP(C45,'Input Data'!$C$2:$D$38,2,FALSE)</f>
        <v>23</v>
      </c>
      <c r="C45" s="9" t="s">
        <v>16</v>
      </c>
      <c r="D45" s="10">
        <v>1840000</v>
      </c>
      <c r="E45" s="10">
        <v>380000</v>
      </c>
      <c r="F45" s="10">
        <v>310000</v>
      </c>
      <c r="G45" s="10">
        <v>1150000</v>
      </c>
      <c r="H45" s="10">
        <f>J45*450</f>
        <v>436950</v>
      </c>
      <c r="I45" s="11">
        <v>181696</v>
      </c>
      <c r="J45" s="11">
        <v>971</v>
      </c>
      <c r="K45" s="12">
        <v>413</v>
      </c>
      <c r="L45" s="12">
        <v>59</v>
      </c>
      <c r="M45" s="12">
        <f>(K45-L45)+(L45*7/12)</f>
        <v>388.4166666666667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23">
        <f>442*I45/5280</f>
        <v>15210.157575757576</v>
      </c>
      <c r="AQ45" s="23">
        <f>J45*17</f>
        <v>16507</v>
      </c>
      <c r="AR45" s="23">
        <f>39*K45</f>
        <v>16107</v>
      </c>
      <c r="AS45" s="23">
        <v>28800</v>
      </c>
      <c r="AT45" s="23">
        <f>(AP45+AQ45+AR45+AS45)*1.1</f>
        <v>84286.57333333335</v>
      </c>
      <c r="AU45" s="23">
        <f>AT45/12/($BE$3*M45)</f>
        <v>36.16673389115355</v>
      </c>
      <c r="AV45" s="24">
        <f>$AP$3*$AQ$3+$AR$3*$AT$3+$AS$3*$AU$3</f>
        <v>59</v>
      </c>
      <c r="AW45" s="72">
        <f>AT45/((AV45-$AW$3-$AP$3*$AX$3)*12)</f>
        <v>369.67795321637436</v>
      </c>
      <c r="AX45" s="73">
        <f>AW45/M45</f>
        <v>0.9517561550303566</v>
      </c>
      <c r="AY45" s="81">
        <f>(AV45-AU45-$AW$3-$AP$3*$AX$3)*M45*$BE$3*12</f>
        <v>-40007.07333333335</v>
      </c>
      <c r="BA45" s="78">
        <f>AT45/((AV45-(1-$AP$3)*$BA$3-$AP$3*$BB$3-$BC$3)*12)</f>
        <v>224.40514731984388</v>
      </c>
      <c r="BB45" s="79">
        <f>BA45/M45</f>
        <v>0.5777433528938267</v>
      </c>
      <c r="BC45" s="85">
        <f>IF(M45*$BE$3&lt;=$AZ$3,M45*$BE$3*($AR$3*$AT$3+AS$3*$AU$3+$AP$3*$AQ$3-(1-$AP$3)*$BA$3-$AP$3*$BB$3-$BC$3)*12-AT45,IF(M45*$BE$3&lt;=$AZ$4,M45*$BE$3*($AR$3*$AT$3+AS$3*$AU$3+$AP$3*$AQ$3-(1-$AP$3)*$BA$4-$AP$3*$BB$4-$BC$4)*12-AT45,IF(M45*$BE$3&lt;=$AZ$5,M45*$BE$3*($AR$3*$AT$3+AS$3*$AU$3+$AP$3*$AQ$3-(1-$AP$3)*$BA$5-$AP$3*$BB$5-$BC$5)*12-AT45,IF(M45*$BE$3&lt;=$AZ$6,M45*$BE$3*($AR$3*$AT$3+AS$3*$AU$3+$AP$3*$AQ$3-(1-$AP$3)*$BA$6-$AP$3*$BB$6-$BC$6)*12-AT45))))</f>
        <v>-11341.923333333354</v>
      </c>
      <c r="BE45" s="101">
        <f>0.03*(D45-F45-H45)</f>
        <v>32791.5</v>
      </c>
      <c r="BF45" s="55">
        <f>(BE45/(M45*$BE$3))/12</f>
        <v>14.070585711220767</v>
      </c>
      <c r="BG45" s="55">
        <f>AV45+BF45</f>
        <v>73.07058571122077</v>
      </c>
      <c r="BH45" s="102">
        <f>((BE45/'Assessed Value'!E11)*'Assessed Value'!G11)/12</f>
        <v>5.831084415458245</v>
      </c>
      <c r="BI45" s="84"/>
      <c r="BJ45" s="107">
        <f>'Debt Service'!K141</f>
        <v>81777.77777777778</v>
      </c>
      <c r="BK45" s="107">
        <f>BJ45/(12*$BE$3*M45)</f>
        <v>35.09022861093232</v>
      </c>
      <c r="BL45" s="107">
        <f>AV45+BK45</f>
        <v>94.09022861093231</v>
      </c>
      <c r="BM45" s="107">
        <f>((BJ45/'Assessed Value'!E11)*'Assessed Value'!G11)/12</f>
        <v>14.541973545913045</v>
      </c>
      <c r="BN45" s="24"/>
      <c r="BO45" s="58">
        <f>(((BJ45+BE45)/'Assessed Value'!E11)*'Assessed Value'!G11)/12</f>
        <v>20.37305796137129</v>
      </c>
      <c r="BP45" s="58">
        <f>AV45+BF45+BK45</f>
        <v>108.1608143221531</v>
      </c>
      <c r="BQ45" s="58">
        <f>AV45</f>
        <v>59</v>
      </c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J45"/>
      <c r="CK45"/>
      <c r="CL45"/>
      <c r="CM45"/>
    </row>
    <row r="46" spans="1:91" ht="16.5" customHeight="1">
      <c r="A46" s="9" t="s">
        <v>34</v>
      </c>
      <c r="B46" s="9">
        <f>VLOOKUP(C46,'Input Data'!$C$2:$D$38,2,FALSE)</f>
        <v>24</v>
      </c>
      <c r="C46" s="9" t="s">
        <v>143</v>
      </c>
      <c r="D46" s="150">
        <v>2530000</v>
      </c>
      <c r="E46" s="150">
        <v>460000</v>
      </c>
      <c r="F46" s="150">
        <v>420000</v>
      </c>
      <c r="G46" s="150">
        <v>1650000</v>
      </c>
      <c r="H46" s="10">
        <f t="shared" si="23"/>
        <v>702450</v>
      </c>
      <c r="I46" s="5">
        <v>253480</v>
      </c>
      <c r="J46" s="5">
        <v>1561</v>
      </c>
      <c r="K46" s="151">
        <v>546</v>
      </c>
      <c r="L46" s="151">
        <v>21</v>
      </c>
      <c r="M46" s="12">
        <f t="shared" si="24"/>
        <v>537.25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23">
        <f t="shared" si="25"/>
        <v>21219.348484848484</v>
      </c>
      <c r="AQ46" s="23">
        <f t="shared" si="26"/>
        <v>26537</v>
      </c>
      <c r="AR46" s="23">
        <f t="shared" si="44"/>
        <v>21294</v>
      </c>
      <c r="AS46" s="23">
        <v>28800</v>
      </c>
      <c r="AT46" s="23">
        <f t="shared" si="27"/>
        <v>107635.38333333333</v>
      </c>
      <c r="AU46" s="23">
        <f t="shared" si="28"/>
        <v>33.39084328628302</v>
      </c>
      <c r="AV46" s="24">
        <f t="shared" si="29"/>
        <v>59</v>
      </c>
      <c r="AW46" s="72">
        <f t="shared" si="30"/>
        <v>472.08501461988305</v>
      </c>
      <c r="AX46" s="73">
        <f t="shared" si="31"/>
        <v>0.8787064022706059</v>
      </c>
      <c r="AY46" s="81">
        <f t="shared" si="32"/>
        <v>-46388.883333333324</v>
      </c>
      <c r="BA46" s="78">
        <f t="shared" si="33"/>
        <v>286.5691782037629</v>
      </c>
      <c r="BB46" s="79">
        <f t="shared" si="34"/>
        <v>0.533400052496534</v>
      </c>
      <c r="BC46" s="85">
        <f t="shared" si="35"/>
        <v>-6739.833333333343</v>
      </c>
      <c r="BE46" s="101">
        <f t="shared" si="36"/>
        <v>42226.5</v>
      </c>
      <c r="BF46" s="55">
        <f t="shared" si="37"/>
        <v>13.099581200558399</v>
      </c>
      <c r="BG46" s="55">
        <f t="shared" si="38"/>
        <v>72.0995812005584</v>
      </c>
      <c r="BH46" s="102">
        <f>((BE46/'Assessed Value'!E39)*'Assessed Value'!G39)/12</f>
        <v>5.7253247100434415</v>
      </c>
      <c r="BI46" s="84"/>
      <c r="BJ46" s="107">
        <f>'Debt Service'!K301</f>
        <v>117333.33333333334</v>
      </c>
      <c r="BK46" s="107">
        <f t="shared" si="39"/>
        <v>36.39935887492891</v>
      </c>
      <c r="BL46" s="107">
        <f t="shared" si="40"/>
        <v>95.39935887492891</v>
      </c>
      <c r="BM46" s="107">
        <f t="shared" si="41"/>
        <v>17.90801790801791</v>
      </c>
      <c r="BN46" s="24"/>
      <c r="BO46" s="58">
        <f>(((BJ46+BE46)/'Assessed Value'!E39)*'Assessed Value'!G39)/12</f>
        <v>21.63408893736745</v>
      </c>
      <c r="BP46" s="58">
        <f t="shared" si="42"/>
        <v>108.49894007548731</v>
      </c>
      <c r="BQ46" s="58">
        <f t="shared" si="43"/>
        <v>59</v>
      </c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J46"/>
      <c r="CK46"/>
      <c r="CL46"/>
      <c r="CM46"/>
    </row>
    <row r="47" spans="1:91" ht="16.5" customHeight="1">
      <c r="A47" s="9" t="s">
        <v>34</v>
      </c>
      <c r="B47" s="9">
        <f>VLOOKUP(C47,'Input Data'!$C$2:$D$38,2,FALSE)</f>
        <v>26</v>
      </c>
      <c r="C47" s="9" t="s">
        <v>144</v>
      </c>
      <c r="D47" s="150">
        <v>4400000</v>
      </c>
      <c r="E47" s="150">
        <v>910000</v>
      </c>
      <c r="F47" s="150">
        <v>640000</v>
      </c>
      <c r="G47" s="150">
        <v>2850000</v>
      </c>
      <c r="H47" s="10">
        <f t="shared" si="23"/>
        <v>1067850</v>
      </c>
      <c r="I47" s="5">
        <v>364281</v>
      </c>
      <c r="J47" s="5">
        <v>2373</v>
      </c>
      <c r="K47" s="151">
        <v>1339</v>
      </c>
      <c r="L47" s="151">
        <v>15</v>
      </c>
      <c r="M47" s="12">
        <f t="shared" si="24"/>
        <v>1332.75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23">
        <f t="shared" si="25"/>
        <v>30494.735227272726</v>
      </c>
      <c r="AQ47" s="23">
        <f t="shared" si="26"/>
        <v>40341</v>
      </c>
      <c r="AR47" s="23">
        <f t="shared" si="44"/>
        <v>52221</v>
      </c>
      <c r="AS47" s="23">
        <v>28800</v>
      </c>
      <c r="AT47" s="23">
        <f t="shared" si="27"/>
        <v>167042.40875</v>
      </c>
      <c r="AU47" s="23">
        <f t="shared" si="28"/>
        <v>20.889440223847934</v>
      </c>
      <c r="AV47" s="24">
        <f t="shared" si="29"/>
        <v>59</v>
      </c>
      <c r="AW47" s="72">
        <f t="shared" si="30"/>
        <v>732.6421436403509</v>
      </c>
      <c r="AX47" s="73">
        <f t="shared" si="31"/>
        <v>0.549722111153893</v>
      </c>
      <c r="AY47" s="81">
        <f t="shared" si="32"/>
        <v>-15108.908750000008</v>
      </c>
      <c r="BA47" s="78">
        <f t="shared" si="33"/>
        <v>444.73484757720985</v>
      </c>
      <c r="BB47" s="79">
        <f t="shared" si="34"/>
        <v>0.3336971281764846</v>
      </c>
      <c r="BC47" s="85">
        <f t="shared" si="35"/>
        <v>83248.04124999998</v>
      </c>
      <c r="BE47" s="101">
        <f t="shared" si="36"/>
        <v>80764.5</v>
      </c>
      <c r="BF47" s="55">
        <f t="shared" si="37"/>
        <v>10.099981241793285</v>
      </c>
      <c r="BG47" s="55">
        <f t="shared" si="38"/>
        <v>69.09998124179329</v>
      </c>
      <c r="BH47" s="102">
        <f>((BE47/'Assessed Value'!E40)*'Assessed Value'!G40)/12</f>
        <v>4.825522105221234</v>
      </c>
      <c r="BI47" s="84"/>
      <c r="BJ47" s="107">
        <f>'Debt Service'!K309</f>
        <v>202666.6666666667</v>
      </c>
      <c r="BK47" s="107">
        <f t="shared" si="39"/>
        <v>25.34442151774735</v>
      </c>
      <c r="BL47" s="107">
        <f t="shared" si="40"/>
        <v>84.34442151774735</v>
      </c>
      <c r="BM47" s="107">
        <f t="shared" si="41"/>
        <v>12.613061156750478</v>
      </c>
      <c r="BN47" s="24"/>
      <c r="BO47" s="58">
        <f>(((BJ47+BE47)/'Assessed Value'!E40)*'Assessed Value'!G40)/12</f>
        <v>16.934462047788866</v>
      </c>
      <c r="BP47" s="58">
        <f t="shared" si="42"/>
        <v>94.44440275954064</v>
      </c>
      <c r="BQ47" s="58">
        <f t="shared" si="43"/>
        <v>59</v>
      </c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J47"/>
      <c r="CK47"/>
      <c r="CL47"/>
      <c r="CM47"/>
    </row>
    <row r="48" spans="1:91" ht="16.5" customHeight="1">
      <c r="A48" s="9" t="s">
        <v>34</v>
      </c>
      <c r="B48" s="9">
        <f>VLOOKUP(C48,'Input Data'!$C$2:$D$38,2,FALSE)</f>
        <v>29</v>
      </c>
      <c r="C48" s="9" t="s">
        <v>145</v>
      </c>
      <c r="D48" s="183">
        <v>1760000</v>
      </c>
      <c r="E48" s="183">
        <v>350000</v>
      </c>
      <c r="F48" s="183">
        <v>300000</v>
      </c>
      <c r="G48" s="183">
        <v>1110000</v>
      </c>
      <c r="H48" s="183">
        <f t="shared" si="23"/>
        <v>330750</v>
      </c>
      <c r="I48" s="184">
        <v>170912</v>
      </c>
      <c r="J48" s="184">
        <v>735</v>
      </c>
      <c r="K48" s="185">
        <v>357</v>
      </c>
      <c r="L48" s="185">
        <v>39</v>
      </c>
      <c r="M48" s="185">
        <f t="shared" si="24"/>
        <v>340.75</v>
      </c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3">
        <f t="shared" si="25"/>
        <v>14307.406060606061</v>
      </c>
      <c r="AQ48" s="23">
        <f t="shared" si="26"/>
        <v>12495</v>
      </c>
      <c r="AR48" s="23">
        <f t="shared" si="44"/>
        <v>13923</v>
      </c>
      <c r="AS48" s="23">
        <v>28800</v>
      </c>
      <c r="AT48" s="23">
        <f t="shared" si="27"/>
        <v>76477.94666666668</v>
      </c>
      <c r="AU48" s="23">
        <f t="shared" si="28"/>
        <v>37.40667481861907</v>
      </c>
      <c r="AV48" s="24">
        <f t="shared" si="29"/>
        <v>59</v>
      </c>
      <c r="AW48" s="72">
        <f t="shared" si="30"/>
        <v>335.42959064327493</v>
      </c>
      <c r="AX48" s="73">
        <f t="shared" si="31"/>
        <v>0.9843861794373439</v>
      </c>
      <c r="AY48" s="81">
        <f t="shared" si="32"/>
        <v>-37632.446666666685</v>
      </c>
      <c r="BA48" s="78">
        <f t="shared" si="33"/>
        <v>203.61540646077393</v>
      </c>
      <c r="BB48" s="79">
        <f t="shared" si="34"/>
        <v>0.5975507159523813</v>
      </c>
      <c r="BC48" s="85">
        <f t="shared" si="35"/>
        <v>-12485.096666666694</v>
      </c>
      <c r="BE48" s="101">
        <f t="shared" si="36"/>
        <v>33877.5</v>
      </c>
      <c r="BF48" s="55">
        <f t="shared" si="37"/>
        <v>16.57006603081438</v>
      </c>
      <c r="BG48" s="55">
        <f t="shared" si="38"/>
        <v>75.57006603081439</v>
      </c>
      <c r="BH48" s="102">
        <f>((BE48/'Assessed Value'!E41)*'Assessed Value'!G41)/12</f>
        <v>7.506969943917118</v>
      </c>
      <c r="BI48" s="84"/>
      <c r="BJ48" s="107">
        <f>'Debt Service'!K317</f>
        <v>78933.33333333333</v>
      </c>
      <c r="BK48" s="107">
        <f t="shared" si="39"/>
        <v>38.60764653134425</v>
      </c>
      <c r="BL48" s="107">
        <f t="shared" si="40"/>
        <v>97.60764653134424</v>
      </c>
      <c r="BM48" s="107">
        <f t="shared" si="41"/>
        <v>18.42514783691254</v>
      </c>
      <c r="BN48" s="24"/>
      <c r="BO48" s="58">
        <f>(((BJ48+BE48)/'Assessed Value'!E41)*'Assessed Value'!G41)/12</f>
        <v>24.997934770321795</v>
      </c>
      <c r="BP48" s="58">
        <f t="shared" si="42"/>
        <v>114.17771256215863</v>
      </c>
      <c r="BQ48" s="58">
        <f t="shared" si="43"/>
        <v>59</v>
      </c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J48"/>
      <c r="CK48"/>
      <c r="CL48"/>
      <c r="CM48"/>
    </row>
    <row r="49" spans="1:69" s="279" customFormat="1" ht="22.5" customHeight="1">
      <c r="A49" s="310"/>
      <c r="B49" s="310"/>
      <c r="C49" s="270" t="s">
        <v>39</v>
      </c>
      <c r="D49" s="271">
        <f aca="true" t="shared" si="45" ref="D49:L49">SUM(D30:D37)</f>
        <v>24440000</v>
      </c>
      <c r="E49" s="271">
        <f t="shared" si="45"/>
        <v>4670000</v>
      </c>
      <c r="F49" s="271">
        <f t="shared" si="45"/>
        <v>3960000</v>
      </c>
      <c r="G49" s="271">
        <f t="shared" si="45"/>
        <v>16770000</v>
      </c>
      <c r="H49" s="271">
        <f t="shared" si="45"/>
        <v>5922000</v>
      </c>
      <c r="I49" s="272">
        <f t="shared" si="45"/>
        <v>2415182</v>
      </c>
      <c r="J49" s="272">
        <f t="shared" si="45"/>
        <v>13160</v>
      </c>
      <c r="K49" s="272">
        <f t="shared" si="45"/>
        <v>5572</v>
      </c>
      <c r="L49" s="272">
        <f t="shared" si="45"/>
        <v>1953</v>
      </c>
      <c r="M49" s="273">
        <f t="shared" si="24"/>
        <v>4758.25</v>
      </c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1">
        <f>SUM(AP30:AP37)</f>
        <v>202180.0083333333</v>
      </c>
      <c r="AQ49" s="271">
        <f>SUM(AQ30:AQ37)</f>
        <v>223720</v>
      </c>
      <c r="AR49" s="271">
        <f>0.7*SUM(AR30:AR37)</f>
        <v>152115.59999999998</v>
      </c>
      <c r="AS49" s="271">
        <v>78000</v>
      </c>
      <c r="AT49" s="274">
        <f t="shared" si="27"/>
        <v>721617.1691666667</v>
      </c>
      <c r="AU49" s="274">
        <f t="shared" si="28"/>
        <v>25.276000251025994</v>
      </c>
      <c r="AV49" s="275">
        <f t="shared" si="29"/>
        <v>59</v>
      </c>
      <c r="AW49" s="276">
        <f t="shared" si="30"/>
        <v>3164.9875840643276</v>
      </c>
      <c r="AX49" s="277">
        <f t="shared" si="31"/>
        <v>0.6651579013427894</v>
      </c>
      <c r="AY49" s="278">
        <f t="shared" si="32"/>
        <v>-179176.6691666665</v>
      </c>
      <c r="BA49" s="319">
        <f t="shared" si="33"/>
        <v>1921.2384695598157</v>
      </c>
      <c r="BB49" s="280">
        <f t="shared" si="34"/>
        <v>0.4037699720611182</v>
      </c>
      <c r="BC49" s="281">
        <f t="shared" si="35"/>
        <v>171982.18083333317</v>
      </c>
      <c r="BD49" s="311"/>
      <c r="BE49" s="312">
        <f t="shared" si="36"/>
        <v>436740</v>
      </c>
      <c r="BF49" s="313">
        <f t="shared" si="37"/>
        <v>15.297640939421006</v>
      </c>
      <c r="BG49" s="313">
        <f t="shared" si="38"/>
        <v>74.297640939421</v>
      </c>
      <c r="BH49" s="314">
        <f>((BE49/'Assessed Value'!E42)*'Assessed Value'!G42)/12</f>
        <v>3.5570766374953533</v>
      </c>
      <c r="BI49" s="315"/>
      <c r="BJ49" s="316">
        <f>SUM(BJ30:BJ37)</f>
        <v>1104141.6666666665</v>
      </c>
      <c r="BK49" s="316">
        <f t="shared" si="39"/>
        <v>38.67464112039323</v>
      </c>
      <c r="BL49" s="316">
        <f t="shared" si="40"/>
        <v>97.67464112039323</v>
      </c>
      <c r="BM49" s="316">
        <f t="shared" si="41"/>
        <v>16.513245792454335</v>
      </c>
      <c r="BN49" s="275"/>
      <c r="BO49" s="318">
        <f>(((BJ49+BE49)/'Assessed Value'!E42)*'Assessed Value'!G42)/12</f>
        <v>12.54987905308628</v>
      </c>
      <c r="BP49" s="318">
        <f t="shared" si="42"/>
        <v>112.97228205981423</v>
      </c>
      <c r="BQ49" s="318">
        <f t="shared" si="43"/>
        <v>59</v>
      </c>
    </row>
    <row r="50" spans="1:69" s="2" customFormat="1" ht="16.5" customHeight="1">
      <c r="A50" s="13"/>
      <c r="B50" s="13"/>
      <c r="C50" s="13" t="s">
        <v>40</v>
      </c>
      <c r="D50" s="15">
        <f aca="true" t="shared" si="46" ref="D50:L50">D26+D29</f>
        <v>117800000</v>
      </c>
      <c r="E50" s="15">
        <f t="shared" si="46"/>
        <v>24210000</v>
      </c>
      <c r="F50" s="15">
        <f t="shared" si="46"/>
        <v>19300000</v>
      </c>
      <c r="G50" s="15">
        <f t="shared" si="46"/>
        <v>74290000</v>
      </c>
      <c r="H50" s="15">
        <f t="shared" si="46"/>
        <v>30654900</v>
      </c>
      <c r="I50" s="19">
        <f t="shared" si="46"/>
        <v>12471952</v>
      </c>
      <c r="J50" s="16">
        <f t="shared" si="46"/>
        <v>68122</v>
      </c>
      <c r="K50" s="16">
        <f t="shared" si="46"/>
        <v>28323</v>
      </c>
      <c r="L50" s="16">
        <f t="shared" si="46"/>
        <v>5630</v>
      </c>
      <c r="M50" s="14">
        <f>(K50-L50)+(L50*7/12)</f>
        <v>25977.166666666668</v>
      </c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5">
        <f>AP26+AP29</f>
        <v>1044053.5575757576</v>
      </c>
      <c r="AQ50" s="15">
        <f>AQ26+AQ29</f>
        <v>1158074</v>
      </c>
      <c r="AR50" s="15">
        <f>AR26+AR29</f>
        <v>698500.53</v>
      </c>
      <c r="AS50" s="15">
        <f>AS26+AS29</f>
        <v>156000</v>
      </c>
      <c r="AT50" s="25">
        <f>(AP50+AQ50+AR50+AS50)*1.1</f>
        <v>3362290.896333334</v>
      </c>
      <c r="AU50" s="25">
        <f>AT50/12/($BE$3*M50)</f>
        <v>21.57209149274256</v>
      </c>
      <c r="AV50" s="6">
        <f>$AP$3*$AQ$3+$AR$3*$AT$3+$AS$3*$AU$3</f>
        <v>59</v>
      </c>
      <c r="AW50" s="74">
        <f>AT50/((AV50-$AW$3-$AP$3*$AX$3)*12)</f>
        <v>14746.889896198834</v>
      </c>
      <c r="AX50" s="75">
        <f>AW50/M50</f>
        <v>0.5676866182300675</v>
      </c>
      <c r="AY50" s="82">
        <f>(AV50-AU50-$AW$3-$AP$3*$AX$3)*M50*$BE$3*12</f>
        <v>-400893.89633333334</v>
      </c>
      <c r="BA50" s="115">
        <f>AT50/((AV50-(1-$AP$3)*$BA$3-$AP$3*$BB$3-$BC$3)*12)</f>
        <v>8951.786198970538</v>
      </c>
      <c r="BB50" s="116">
        <f>BA50/M50</f>
        <v>0.34460210052304413</v>
      </c>
      <c r="BC50" s="117">
        <f>IF(M50*$BE$3&lt;=$AZ$3,M50*$BE$3*($AR$3*$AT$3+AS$3*$AU$3+$AP$3*$AQ$3-(1-$AP$3)*$BA$3-$AP$3*$BB$3-$BC$3)*12-AT50,IF(M50*$BE$3&lt;=$AZ$4,M50*$BE$3*($AR$3*$AT$3+AS$3*$AU$3+$AP$3*$AQ$3-(1-$AP$3)*$BA$4-$AP$3*$BB$4-$BC$4)*12-AT50,IF(M50*$BE$3&lt;=$AZ$5,M50*$BE$3*($AR$3*$AT$3+AS$3*$AU$3+$AP$3*$AQ$3-(1-$AP$3)*$BA$5-$AP$3*$BB$5-$BC$5)*12-AT50,IF(M50*$BE$3&lt;=$AZ$6,M50*$BE$3*($AR$3*$AT$3+AS$3*$AU$3+$AP$3*$AQ$3-(1-$AP$3)*$BA$6-$AP$3*$BB$6-$BC$6)*12-AT50))))</f>
        <v>1905878.5036666654</v>
      </c>
      <c r="BD50" s="93"/>
      <c r="BE50" s="103">
        <f>0.03*(D50-F50-H50)</f>
        <v>2035353</v>
      </c>
      <c r="BF50" s="104">
        <f>(BE50/(M50*$BE$3))/12</f>
        <v>13.058602747284473</v>
      </c>
      <c r="BG50" s="104">
        <f>AV50+BF50</f>
        <v>72.05860274728447</v>
      </c>
      <c r="BH50" s="118">
        <f>(BE50/('Assessed Value'!E17+'Assessed Value'!E25))*('Assessed Value'!F17+'Assessed Value'!F25)/('Assessed Value'!D17+'Assessed Value'!D25)/12</f>
        <v>11.6388611820511</v>
      </c>
      <c r="BI50" s="119"/>
      <c r="BJ50" s="109">
        <f>BJ26+BJ29</f>
        <v>5282844.444444445</v>
      </c>
      <c r="BK50" s="108">
        <f>BJ50/(12*$BE$3*M50)</f>
        <v>33.894153483793104</v>
      </c>
      <c r="BL50" s="108">
        <f>AV50+BK50</f>
        <v>92.8941534837931</v>
      </c>
      <c r="BM50" s="108">
        <f>(BJ50/12/K50)</f>
        <v>15.543446564171772</v>
      </c>
      <c r="BN50" s="6"/>
      <c r="BO50" s="114">
        <f>(BJ50+BE50)/12/K50</f>
        <v>21.53196296427063</v>
      </c>
      <c r="BP50" s="114">
        <f>AV50+BF50+BK50</f>
        <v>105.95275623107757</v>
      </c>
      <c r="BQ50" s="114">
        <f>AV50</f>
        <v>59</v>
      </c>
    </row>
    <row r="51" spans="1:69" s="2" customFormat="1" ht="16.5" customHeight="1">
      <c r="A51" s="13"/>
      <c r="B51" s="13"/>
      <c r="C51" s="13" t="s">
        <v>41</v>
      </c>
      <c r="D51" s="15">
        <f aca="true" t="shared" si="47" ref="D51:L51">D26+D29+D49</f>
        <v>142240000</v>
      </c>
      <c r="E51" s="15">
        <f t="shared" si="47"/>
        <v>28880000</v>
      </c>
      <c r="F51" s="15">
        <f t="shared" si="47"/>
        <v>23260000</v>
      </c>
      <c r="G51" s="15">
        <f t="shared" si="47"/>
        <v>91060000</v>
      </c>
      <c r="H51" s="15">
        <f t="shared" si="47"/>
        <v>36576900</v>
      </c>
      <c r="I51" s="19">
        <f t="shared" si="47"/>
        <v>14887134</v>
      </c>
      <c r="J51" s="16">
        <f t="shared" si="47"/>
        <v>81282</v>
      </c>
      <c r="K51" s="16">
        <f t="shared" si="47"/>
        <v>33895</v>
      </c>
      <c r="L51" s="16">
        <f t="shared" si="47"/>
        <v>7583</v>
      </c>
      <c r="M51" s="14">
        <f>(K51-L51)+(L51*7/12)</f>
        <v>30735.416666666668</v>
      </c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5">
        <f>AP26+AP29+AP49</f>
        <v>1246233.565909091</v>
      </c>
      <c r="AQ51" s="15">
        <f>AQ26+AQ29+AQ49</f>
        <v>1381794</v>
      </c>
      <c r="AR51" s="15">
        <f>AR26+AR29+AR49</f>
        <v>850616.13</v>
      </c>
      <c r="AS51" s="15">
        <f>AS26+AS29+AS49</f>
        <v>234000</v>
      </c>
      <c r="AT51" s="25">
        <f>(AP51+AQ51+AR51+AS51)*1.1</f>
        <v>4083908.0655</v>
      </c>
      <c r="AU51" s="25">
        <f>AT51/12/($BE$3*M51)</f>
        <v>22.145505676133666</v>
      </c>
      <c r="AV51" s="6">
        <f>$AP$3*$AQ$3+$AR$3*$AT$3+$AS$3*$AU$3</f>
        <v>59</v>
      </c>
      <c r="AW51" s="74">
        <f>AT51/((AV51-$AW$3-$AP$3*$AX$3)*12)</f>
        <v>17911.87748026316</v>
      </c>
      <c r="AX51" s="75">
        <f>AW51/M51</f>
        <v>0.5827764651614123</v>
      </c>
      <c r="AY51" s="82">
        <f>(AV51-AU51-$AW$3-$AP$3*$AX$3)*M51*$BE$3*12</f>
        <v>-580070.5654999998</v>
      </c>
      <c r="BA51" s="115">
        <f>AT51/((AV51-(1-$AP$3)*$BA$3-$AP$3*$BB$3-$BC$3)*12)</f>
        <v>10873.024668530352</v>
      </c>
      <c r="BB51" s="116">
        <f>BA51/M51</f>
        <v>0.35376207150373273</v>
      </c>
      <c r="BC51" s="117">
        <f>IF(M51*$BE$3&lt;=$AZ$3,M51*$BE$3*($AR$3*$AT$3+AS$3*$AU$3+$AP$3*$AQ$3-(1-$AP$3)*$BA$3-$AP$3*$BB$3-$BC$3)*12-AT51,IF(M51*$BE$3&lt;=$AZ$4,M51*$BE$3*($AR$3*$AT$3+AS$3*$AU$3+$AP$3*$AQ$3-(1-$AP$3)*$BA$4-$AP$3*$BB$4-$BC$4)*12-AT51,IF(M51*$BE$3&lt;=$AZ$5,M51*$BE$3*($AR$3*$AT$3+AS$3*$AU$3+$AP$3*$AQ$3-(1-$AP$3)*$BA$5-$AP$3*$BB$5-$BC$5)*12-AT51,IF(M51*$BE$3&lt;=$AZ$6,M51*$BE$3*($AR$3*$AT$3+AS$3*$AU$3+$AP$3*$AQ$3-(1-$AP$3)*$BA$6-$AP$3*$BB$6-$BC$6)*12-AT51))))</f>
        <v>2379750.059499999</v>
      </c>
      <c r="BD51" s="93"/>
      <c r="BE51" s="103">
        <f>0.03*(D51-F51-H51)</f>
        <v>2472093</v>
      </c>
      <c r="BF51" s="104">
        <f>(BE51/(M51*$BE$3))/12</f>
        <v>13.405235545312818</v>
      </c>
      <c r="BG51" s="104">
        <f>AV51+BF51</f>
        <v>72.40523554531282</v>
      </c>
      <c r="BH51" s="118">
        <f>(BE51/('Assessed Value'!E17+'Assessed Value'!E25+'Assessed Value'!E42))*('Assessed Value'!F17+'Assessed Value'!F25+'Assessed Value'!F42)/('Assessed Value'!D17+'Assessed Value'!D25+'Assessed Value'!D42)/12</f>
        <v>8.349490375630573</v>
      </c>
      <c r="BI51" s="119"/>
      <c r="BJ51" s="109">
        <f>BJ26+BJ29+BJ49</f>
        <v>6386986.111111112</v>
      </c>
      <c r="BK51" s="108">
        <f>BJ51/(12*$BE$3*M51)</f>
        <v>34.63423635117528</v>
      </c>
      <c r="BL51" s="108">
        <f>AV51+BK51</f>
        <v>93.63423635117528</v>
      </c>
      <c r="BM51" s="108">
        <f>(BJ51/12/K51)</f>
        <v>15.702871886490417</v>
      </c>
      <c r="BN51" s="6"/>
      <c r="BO51" s="114">
        <f>(BJ51+BE51)/12/K51</f>
        <v>21.78069309905864</v>
      </c>
      <c r="BP51" s="114">
        <f>AV51+BF51+BK51</f>
        <v>107.0394718964881</v>
      </c>
      <c r="BQ51" s="114">
        <f>AV51</f>
        <v>59</v>
      </c>
    </row>
    <row r="52" spans="3:91" ht="16.5" customHeight="1">
      <c r="C52" s="2"/>
      <c r="D52" s="3"/>
      <c r="E52" s="3"/>
      <c r="F52" s="3"/>
      <c r="G52" s="3"/>
      <c r="H52" s="3"/>
      <c r="I52" s="20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W52"/>
      <c r="AX52"/>
      <c r="AY52"/>
      <c r="AZ52"/>
      <c r="BA52"/>
      <c r="BF52" s="41"/>
      <c r="BG52" s="24"/>
      <c r="BH52" s="84"/>
      <c r="BI52" s="84"/>
      <c r="BJ52" s="41"/>
      <c r="BK52" s="24"/>
      <c r="BL52" s="24"/>
      <c r="BM52" s="24"/>
      <c r="BN52" s="24"/>
      <c r="BO52" s="24"/>
      <c r="BP52" s="41"/>
      <c r="BQ52" s="41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J52"/>
      <c r="CK52"/>
      <c r="CL52"/>
      <c r="CM52"/>
    </row>
    <row r="53" spans="3:91" ht="16.5" customHeight="1">
      <c r="C53" s="2"/>
      <c r="D53" s="3"/>
      <c r="E53" s="3"/>
      <c r="F53" s="3"/>
      <c r="G53" s="3"/>
      <c r="H53" s="3"/>
      <c r="I53" s="20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W53" s="1"/>
      <c r="AX53" s="27"/>
      <c r="AY53" s="27"/>
      <c r="AZ53" s="27"/>
      <c r="BA53" s="26"/>
      <c r="BF53" s="1"/>
      <c r="BG53"/>
      <c r="BJ53" s="1"/>
      <c r="BM53"/>
      <c r="BN53"/>
      <c r="BO53"/>
      <c r="BP53"/>
      <c r="BR53" s="41"/>
      <c r="BS53" s="24"/>
      <c r="BT53" s="24"/>
      <c r="BU53" s="24"/>
      <c r="BV53" s="41"/>
      <c r="BW53" s="41"/>
      <c r="BX53" s="41"/>
      <c r="BY53" s="26"/>
      <c r="BZ53" s="26"/>
      <c r="CA53" s="26"/>
      <c r="CK53"/>
      <c r="CL53"/>
      <c r="CM53"/>
    </row>
    <row r="54" spans="87:92" ht="16.5" customHeight="1">
      <c r="CI54" s="26"/>
      <c r="CJ54"/>
      <c r="CK54" s="1"/>
      <c r="CN54" s="26"/>
    </row>
    <row r="55" spans="3:9" ht="16.5" customHeight="1">
      <c r="C55" s="395"/>
      <c r="D55" s="395"/>
      <c r="E55" s="395"/>
      <c r="F55" s="395"/>
      <c r="G55" s="395"/>
      <c r="H55" s="395"/>
      <c r="I55" s="395"/>
    </row>
    <row r="56" spans="3:9" ht="16.5" customHeight="1">
      <c r="C56" s="395"/>
      <c r="D56" s="395"/>
      <c r="E56" s="395"/>
      <c r="F56" s="395"/>
      <c r="G56" s="395"/>
      <c r="H56" s="395"/>
      <c r="I56" s="395"/>
    </row>
    <row r="57" spans="3:9" ht="16.5" customHeight="1">
      <c r="C57" s="395"/>
      <c r="D57" s="395"/>
      <c r="E57" s="395"/>
      <c r="F57" s="395"/>
      <c r="G57" s="395"/>
      <c r="H57" s="395"/>
      <c r="I57" s="395"/>
    </row>
  </sheetData>
  <sheetProtection selectLockedCells="1" selectUnlockedCells="1"/>
  <mergeCells count="3">
    <mergeCell ref="C55:I55"/>
    <mergeCell ref="C56:I56"/>
    <mergeCell ref="C57:I57"/>
  </mergeCells>
  <printOptions horizontalCentered="1"/>
  <pageMargins left="0.25" right="0.25" top="0.25" bottom="0.25" header="0.3" footer="0.3"/>
  <pageSetup fitToHeight="1" fitToWidth="1" orientation="portrait" scale="8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9"/>
  <sheetViews>
    <sheetView zoomScale="125" zoomScaleNormal="125" zoomScalePageLayoutView="0" workbookViewId="0" topLeftCell="A1">
      <pane xSplit="13" ySplit="10" topLeftCell="N11" activePane="bottomRight" state="frozen"/>
      <selection pane="topLeft" activeCell="T12" sqref="T12"/>
      <selection pane="topRight" activeCell="T12" sqref="T12"/>
      <selection pane="bottomLeft" activeCell="T12" sqref="T12"/>
      <selection pane="bottomRight" activeCell="M18" sqref="M18"/>
    </sheetView>
  </sheetViews>
  <sheetFormatPr defaultColWidth="11.421875" defaultRowHeight="14.25" customHeight="1"/>
  <cols>
    <col min="1" max="1" width="2.421875" style="0" customWidth="1"/>
    <col min="2" max="2" width="6.7109375" style="0" hidden="1" customWidth="1"/>
    <col min="3" max="3" width="14.7109375" style="0" customWidth="1"/>
    <col min="4" max="4" width="0.13671875" style="0" hidden="1" customWidth="1"/>
    <col min="5" max="5" width="11.421875" style="0" hidden="1" customWidth="1"/>
    <col min="6" max="6" width="10.00390625" style="0" hidden="1" customWidth="1"/>
    <col min="7" max="7" width="10.421875" style="0" hidden="1" customWidth="1"/>
    <col min="8" max="8" width="10.7109375" style="0" hidden="1" customWidth="1"/>
    <col min="9" max="9" width="9.8515625" style="1" hidden="1" customWidth="1"/>
    <col min="10" max="11" width="7.7109375" style="0" hidden="1" customWidth="1"/>
    <col min="12" max="12" width="9.421875" style="0" hidden="1" customWidth="1"/>
    <col min="13" max="13" width="7.8515625" style="0" hidden="1" customWidth="1"/>
    <col min="14" max="15" width="9.8515625" style="26" bestFit="1" customWidth="1"/>
    <col min="16" max="16" width="10.00390625" style="26" customWidth="1"/>
    <col min="17" max="17" width="8.421875" style="26" customWidth="1"/>
    <col min="18" max="18" width="9.28125" style="26" customWidth="1"/>
    <col min="19" max="19" width="7.421875" style="26" customWidth="1"/>
    <col min="20" max="20" width="7.7109375" style="26" customWidth="1"/>
    <col min="21" max="21" width="7.421875" style="26" customWidth="1"/>
    <col min="22" max="22" width="7.7109375" style="26" customWidth="1"/>
    <col min="23" max="23" width="11.421875" style="26" bestFit="1" customWidth="1"/>
    <col min="24" max="38" width="10.8515625" style="26" hidden="1" customWidth="1"/>
    <col min="39" max="39" width="1.7109375" style="65" hidden="1" customWidth="1"/>
    <col min="40" max="40" width="10.28125" style="26" hidden="1" customWidth="1"/>
    <col min="41" max="41" width="7.8515625" style="27" hidden="1" customWidth="1"/>
    <col min="42" max="42" width="9.140625" style="1" hidden="1" customWidth="1"/>
    <col min="43" max="43" width="10.00390625" style="43" hidden="1" customWidth="1"/>
    <col min="44" max="44" width="2.8515625" style="43" hidden="1" customWidth="1"/>
    <col min="45" max="45" width="9.421875" style="27" hidden="1" customWidth="1"/>
    <col min="46" max="46" width="7.28125" style="27" hidden="1" customWidth="1"/>
    <col min="47" max="47" width="8.421875" style="27" hidden="1" customWidth="1"/>
    <col min="48" max="48" width="8.7109375" style="26" hidden="1" customWidth="1"/>
    <col min="49" max="49" width="8.7109375" style="154" hidden="1" customWidth="1"/>
    <col min="50" max="50" width="2.28125" style="26" hidden="1" customWidth="1"/>
    <col min="51" max="51" width="10.28125" style="1" hidden="1" customWidth="1"/>
    <col min="52" max="52" width="10.7109375" style="27" hidden="1" customWidth="1"/>
    <col min="53" max="53" width="7.8515625" style="0" hidden="1" customWidth="1"/>
    <col min="54" max="54" width="7.140625" style="0" customWidth="1"/>
    <col min="55" max="56" width="10.28125" style="0" customWidth="1"/>
    <col min="57" max="57" width="13.421875" style="41" bestFit="1" customWidth="1"/>
    <col min="58" max="58" width="9.28125" style="24" bestFit="1" customWidth="1"/>
    <col min="59" max="60" width="7.7109375" style="24" customWidth="1"/>
    <col min="61" max="62" width="8.8515625" style="41" customWidth="1"/>
    <col min="63" max="63" width="8.421875" style="41" customWidth="1"/>
    <col min="64" max="67" width="11.421875" style="26" customWidth="1"/>
    <col min="68" max="68" width="12.421875" style="26" bestFit="1" customWidth="1"/>
    <col min="69" max="69" width="12.421875" style="26" customWidth="1"/>
    <col min="70" max="70" width="11.421875" style="26" customWidth="1"/>
    <col min="71" max="71" width="11.421875" style="0" customWidth="1"/>
    <col min="72" max="72" width="11.421875" style="1" customWidth="1"/>
    <col min="73" max="75" width="11.421875" style="26" customWidth="1"/>
  </cols>
  <sheetData>
    <row r="1" spans="1:75" s="171" customFormat="1" ht="24.75" customHeight="1">
      <c r="A1" s="307"/>
      <c r="B1" s="307"/>
      <c r="C1" s="308" t="s">
        <v>181</v>
      </c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176"/>
      <c r="AN1" s="173"/>
      <c r="AO1" s="174"/>
      <c r="AP1" s="172"/>
      <c r="AQ1" s="177"/>
      <c r="AR1" s="177"/>
      <c r="AS1" s="174"/>
      <c r="AT1" s="174"/>
      <c r="AU1" s="174"/>
      <c r="AV1" s="173"/>
      <c r="AW1" s="178"/>
      <c r="AX1" s="173"/>
      <c r="AY1" s="172"/>
      <c r="AZ1" s="174"/>
      <c r="BE1" s="179"/>
      <c r="BF1" s="175"/>
      <c r="BG1" s="175"/>
      <c r="BH1" s="175"/>
      <c r="BI1" s="179"/>
      <c r="BJ1" s="179"/>
      <c r="BK1" s="179"/>
      <c r="BL1" s="173"/>
      <c r="BM1" s="173"/>
      <c r="BN1" s="173"/>
      <c r="BO1" s="173"/>
      <c r="BP1" s="173"/>
      <c r="BQ1" s="173"/>
      <c r="BR1" s="173"/>
      <c r="BT1" s="172"/>
      <c r="BU1" s="173"/>
      <c r="BV1" s="173"/>
      <c r="BW1" s="173"/>
    </row>
    <row r="2" spans="9:79" ht="14.25" customHeight="1" hidden="1">
      <c r="I2"/>
      <c r="L2" s="1"/>
      <c r="N2"/>
      <c r="O2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165"/>
      <c r="AN2" s="166"/>
      <c r="AO2" s="59"/>
      <c r="AP2" s="27"/>
      <c r="AS2" s="59"/>
      <c r="AT2" s="54"/>
      <c r="AU2" s="54"/>
      <c r="AV2" s="24"/>
      <c r="AW2" s="152"/>
      <c r="AX2" s="24"/>
      <c r="AY2" s="27"/>
      <c r="BA2" s="26"/>
      <c r="BB2" s="1"/>
      <c r="BC2" s="1"/>
      <c r="BD2" s="27"/>
      <c r="BE2" s="396" t="s">
        <v>176</v>
      </c>
      <c r="BF2" s="396"/>
      <c r="BG2" s="396"/>
      <c r="BH2"/>
      <c r="BJ2" s="24"/>
      <c r="BK2" s="24"/>
      <c r="BL2" s="24"/>
      <c r="BM2" s="41"/>
      <c r="BN2" s="41"/>
      <c r="BO2" s="41"/>
      <c r="BS2" s="26"/>
      <c r="BT2" s="26"/>
      <c r="BW2"/>
      <c r="BX2" s="1"/>
      <c r="BY2" s="26"/>
      <c r="BZ2" s="26"/>
      <c r="CA2" s="26"/>
    </row>
    <row r="3" spans="15:68" s="46" customFormat="1" ht="24.75" hidden="1">
      <c r="O3" s="16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168"/>
      <c r="AO3" s="42"/>
      <c r="AQ3" s="42"/>
      <c r="AR3" s="42"/>
      <c r="AS3" s="42"/>
      <c r="AW3" s="153"/>
      <c r="AX3" s="49"/>
      <c r="AY3" s="50"/>
      <c r="AZ3" s="50"/>
      <c r="BA3" s="50"/>
      <c r="BB3" s="49"/>
      <c r="BC3" s="49"/>
      <c r="BD3" s="49"/>
      <c r="BE3" s="71" t="s">
        <v>157</v>
      </c>
      <c r="BF3" s="71" t="s">
        <v>100</v>
      </c>
      <c r="BG3" s="71" t="s">
        <v>104</v>
      </c>
      <c r="BH3" s="48"/>
      <c r="BI3" s="48"/>
      <c r="BJ3" s="48"/>
      <c r="BK3" s="48"/>
      <c r="BM3" s="47"/>
      <c r="BN3" s="48"/>
      <c r="BO3" s="48"/>
      <c r="BP3" s="48"/>
    </row>
    <row r="4" spans="17:75" ht="14.25" customHeight="1">
      <c r="Q4" s="24"/>
      <c r="R4" s="399" t="s">
        <v>156</v>
      </c>
      <c r="S4" s="399"/>
      <c r="T4" s="399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67"/>
      <c r="AO4" s="26"/>
      <c r="AP4"/>
      <c r="AQ4" s="26"/>
      <c r="AR4" s="26"/>
      <c r="AT4"/>
      <c r="AU4"/>
      <c r="AV4"/>
      <c r="AX4"/>
      <c r="AY4"/>
      <c r="AZ4"/>
      <c r="BH4"/>
      <c r="BI4"/>
      <c r="BJ4"/>
      <c r="BK4"/>
      <c r="BL4"/>
      <c r="BM4"/>
      <c r="BN4"/>
      <c r="BO4"/>
      <c r="BP4"/>
      <c r="BQ4"/>
      <c r="BR4"/>
      <c r="BT4"/>
      <c r="BU4"/>
      <c r="BV4"/>
      <c r="BW4"/>
    </row>
    <row r="5" spans="9:75" ht="14.25" customHeight="1">
      <c r="I5"/>
      <c r="O5" s="65"/>
      <c r="P5" s="162"/>
      <c r="Q5" s="46"/>
      <c r="R5" s="167" t="s">
        <v>150</v>
      </c>
      <c r="S5" s="167" t="s">
        <v>151</v>
      </c>
      <c r="T5" s="167" t="s">
        <v>152</v>
      </c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67"/>
      <c r="AN5" s="24"/>
      <c r="AO5" s="53"/>
      <c r="AP5" s="68"/>
      <c r="AQ5" s="88"/>
      <c r="AR5" s="88"/>
      <c r="AS5" s="65"/>
      <c r="AT5" s="53"/>
      <c r="AU5" s="53"/>
      <c r="AV5" s="24"/>
      <c r="AW5" s="152"/>
      <c r="AX5" s="24"/>
      <c r="AY5" s="53"/>
      <c r="AZ5" s="26"/>
      <c r="BA5" s="26"/>
      <c r="BB5" s="26"/>
      <c r="BC5" s="27"/>
      <c r="BH5"/>
      <c r="BI5"/>
      <c r="BJ5"/>
      <c r="BK5"/>
      <c r="BL5"/>
      <c r="BM5"/>
      <c r="BN5"/>
      <c r="BO5"/>
      <c r="BP5"/>
      <c r="BQ5"/>
      <c r="BR5"/>
      <c r="BT5"/>
      <c r="BU5"/>
      <c r="BV5"/>
      <c r="BW5"/>
    </row>
    <row r="6" spans="9:75" ht="14.25" customHeight="1">
      <c r="I6"/>
      <c r="O6" s="65"/>
      <c r="R6" s="164" t="s">
        <v>153</v>
      </c>
      <c r="S6" s="44">
        <f>VLOOKUP(Summary!$D$34,'Input Data'!$J$2:$K$13,2,FALSE)</f>
        <v>0</v>
      </c>
      <c r="T6" s="45">
        <v>19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67"/>
      <c r="AN6" s="24"/>
      <c r="AO6" s="53"/>
      <c r="AP6" s="68"/>
      <c r="AQ6" s="88"/>
      <c r="AR6" s="88"/>
      <c r="AS6" s="65"/>
      <c r="AT6" s="53"/>
      <c r="AU6" s="53"/>
      <c r="AV6" s="24"/>
      <c r="AW6" s="152"/>
      <c r="AX6" s="24"/>
      <c r="AY6" s="53"/>
      <c r="AZ6" s="26"/>
      <c r="BA6" s="26"/>
      <c r="BB6" s="26"/>
      <c r="BC6" s="27"/>
      <c r="BH6"/>
      <c r="BI6"/>
      <c r="BJ6"/>
      <c r="BK6"/>
      <c r="BL6"/>
      <c r="BM6"/>
      <c r="BN6"/>
      <c r="BO6"/>
      <c r="BP6"/>
      <c r="BQ6"/>
      <c r="BR6"/>
      <c r="BT6"/>
      <c r="BU6"/>
      <c r="BV6"/>
      <c r="BW6"/>
    </row>
    <row r="7" spans="9:75" ht="16.5" customHeight="1">
      <c r="I7"/>
      <c r="N7" s="64"/>
      <c r="O7" s="65"/>
      <c r="P7" s="169" t="s">
        <v>97</v>
      </c>
      <c r="R7" s="164" t="s">
        <v>154</v>
      </c>
      <c r="S7" s="44">
        <f>VLOOKUP(Summary!$D$33,'Input Data'!$F$2:$G$14,2,FALSE)</f>
        <v>1</v>
      </c>
      <c r="T7" s="45">
        <v>59</v>
      </c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67"/>
      <c r="AN7" s="24"/>
      <c r="AO7" s="53"/>
      <c r="AP7" s="68"/>
      <c r="AQ7" s="88"/>
      <c r="AR7" s="88"/>
      <c r="AS7" s="65"/>
      <c r="AT7" s="53"/>
      <c r="AU7" s="53"/>
      <c r="AV7" s="24"/>
      <c r="AW7" s="152"/>
      <c r="AX7" s="24"/>
      <c r="AY7" s="53"/>
      <c r="AZ7" s="26"/>
      <c r="BA7" s="26"/>
      <c r="BB7" s="26"/>
      <c r="BC7" s="27"/>
      <c r="BH7"/>
      <c r="BI7"/>
      <c r="BJ7"/>
      <c r="BK7"/>
      <c r="BL7"/>
      <c r="BM7"/>
      <c r="BN7"/>
      <c r="BO7"/>
      <c r="BP7"/>
      <c r="BQ7"/>
      <c r="BR7"/>
      <c r="BT7"/>
      <c r="BU7"/>
      <c r="BV7"/>
      <c r="BW7"/>
    </row>
    <row r="8" spans="11:75" ht="14.25" customHeight="1">
      <c r="K8" s="65"/>
      <c r="L8" s="64"/>
      <c r="M8" s="64"/>
      <c r="N8" s="24"/>
      <c r="O8" s="65"/>
      <c r="P8" s="295">
        <f>VLOOKUP(Summary!$D$32,'Input Data'!$D$2:$E$13,2,FALSE)</f>
        <v>0.5</v>
      </c>
      <c r="R8" s="164" t="s">
        <v>155</v>
      </c>
      <c r="S8" s="44">
        <f>+Summary!$F$3</f>
        <v>0</v>
      </c>
      <c r="T8" s="45">
        <v>75</v>
      </c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N8" s="65"/>
      <c r="AO8" s="68"/>
      <c r="AP8" s="27"/>
      <c r="AS8" s="53"/>
      <c r="AT8" s="26"/>
      <c r="AU8" s="26"/>
      <c r="AY8" s="26"/>
      <c r="AZ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T8"/>
      <c r="BU8"/>
      <c r="BV8"/>
      <c r="BW8"/>
    </row>
    <row r="9" spans="9:53" s="2" customFormat="1" ht="14.25" customHeight="1">
      <c r="I9" s="20"/>
      <c r="K9" s="93"/>
      <c r="L9" s="92"/>
      <c r="M9" s="92"/>
      <c r="N9" s="93"/>
      <c r="O9" s="93"/>
      <c r="P9" s="28"/>
      <c r="Q9" s="93"/>
      <c r="S9" s="5"/>
      <c r="T9" s="95"/>
      <c r="U9" s="303" t="s">
        <v>183</v>
      </c>
      <c r="V9" s="303"/>
      <c r="W9" s="303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96"/>
      <c r="AN9" s="397" t="s">
        <v>112</v>
      </c>
      <c r="AO9" s="397"/>
      <c r="AP9" s="397"/>
      <c r="AQ9" s="397"/>
      <c r="AR9" s="91"/>
      <c r="AS9" s="398" t="s">
        <v>86</v>
      </c>
      <c r="AT9" s="398"/>
      <c r="AU9" s="398"/>
      <c r="AV9" s="398"/>
      <c r="AW9" s="155"/>
      <c r="AX9" s="97"/>
      <c r="AY9" s="110"/>
      <c r="AZ9" s="111"/>
      <c r="BA9" s="111"/>
    </row>
    <row r="10" spans="1:53" s="18" customFormat="1" ht="84" customHeight="1">
      <c r="A10" s="17"/>
      <c r="B10" s="17"/>
      <c r="C10" s="301" t="s">
        <v>0</v>
      </c>
      <c r="D10" s="7" t="s">
        <v>35</v>
      </c>
      <c r="E10" s="7" t="s">
        <v>36</v>
      </c>
      <c r="F10" s="7" t="s">
        <v>37</v>
      </c>
      <c r="G10" s="7" t="s">
        <v>38</v>
      </c>
      <c r="H10" s="7" t="s">
        <v>42</v>
      </c>
      <c r="I10" s="8" t="s">
        <v>28</v>
      </c>
      <c r="J10" s="8" t="s">
        <v>29</v>
      </c>
      <c r="K10" s="8" t="s">
        <v>30</v>
      </c>
      <c r="L10" s="8" t="s">
        <v>31</v>
      </c>
      <c r="M10" s="8" t="s">
        <v>45</v>
      </c>
      <c r="N10" s="21" t="s">
        <v>43</v>
      </c>
      <c r="O10" s="21" t="s">
        <v>44</v>
      </c>
      <c r="P10" s="347" t="s">
        <v>96</v>
      </c>
      <c r="Q10" s="347" t="s">
        <v>98</v>
      </c>
      <c r="R10" s="21" t="s">
        <v>46</v>
      </c>
      <c r="S10" s="351" t="s">
        <v>105</v>
      </c>
      <c r="T10" s="21" t="s">
        <v>53</v>
      </c>
      <c r="U10" s="70" t="s">
        <v>106</v>
      </c>
      <c r="V10" s="71" t="s">
        <v>47</v>
      </c>
      <c r="W10" s="180" t="s">
        <v>160</v>
      </c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91"/>
      <c r="AN10" s="98" t="s">
        <v>136</v>
      </c>
      <c r="AO10" s="149" t="s">
        <v>109</v>
      </c>
      <c r="AP10" s="99" t="s">
        <v>114</v>
      </c>
      <c r="AQ10" s="100" t="s">
        <v>111</v>
      </c>
      <c r="AR10" s="89"/>
      <c r="AS10" s="105" t="s">
        <v>92</v>
      </c>
      <c r="AT10" s="106" t="s">
        <v>110</v>
      </c>
      <c r="AU10" s="105" t="s">
        <v>115</v>
      </c>
      <c r="AV10" s="106" t="s">
        <v>146</v>
      </c>
      <c r="AW10" s="156" t="s">
        <v>148</v>
      </c>
      <c r="AX10" s="22"/>
      <c r="AY10" s="112" t="s">
        <v>147</v>
      </c>
      <c r="AZ10" s="113" t="s">
        <v>113</v>
      </c>
      <c r="BA10" s="113" t="s">
        <v>95</v>
      </c>
    </row>
    <row r="11" spans="1:75" ht="13.5" customHeight="1">
      <c r="A11" s="9" t="s">
        <v>32</v>
      </c>
      <c r="B11" s="9">
        <f>VLOOKUP(C11,'Input Data'!$C$2:$D$28,2,FALSE)</f>
        <v>2</v>
      </c>
      <c r="C11" s="9" t="s">
        <v>1</v>
      </c>
      <c r="D11" s="10">
        <v>3710000</v>
      </c>
      <c r="E11" s="10">
        <v>770000</v>
      </c>
      <c r="F11" s="10">
        <v>640000</v>
      </c>
      <c r="G11" s="10">
        <v>2300000</v>
      </c>
      <c r="H11" s="10">
        <f>J11*450</f>
        <v>784350</v>
      </c>
      <c r="I11" s="11">
        <v>379064</v>
      </c>
      <c r="J11" s="11">
        <v>1743</v>
      </c>
      <c r="K11" s="12">
        <v>877</v>
      </c>
      <c r="L11" s="12">
        <v>84</v>
      </c>
      <c r="M11" s="12">
        <f>(K11-L11)+(L11*7/12)</f>
        <v>842</v>
      </c>
      <c r="N11" s="23">
        <f>442*I11/5280</f>
        <v>31732.251515151514</v>
      </c>
      <c r="O11" s="23">
        <f>J11*17</f>
        <v>29631</v>
      </c>
      <c r="P11" s="348">
        <f>39*K11</f>
        <v>34203</v>
      </c>
      <c r="Q11" s="348">
        <v>28800</v>
      </c>
      <c r="R11" s="23">
        <f>(N11+O11+P11+Q11)*1.1</f>
        <v>136802.87666666668</v>
      </c>
      <c r="S11" s="352">
        <f>R11/12/($P$8*M11)</f>
        <v>27.078954209553974</v>
      </c>
      <c r="T11" s="24">
        <f aca="true" t="shared" si="0" ref="T11:T58">$S$6*$T$6+$S$7*$T$7+$S$8*$T$8</f>
        <v>59</v>
      </c>
      <c r="U11" s="72">
        <f aca="true" t="shared" si="1" ref="U11:U26">R11/((T11-(1-$S$6)*$O$66-$S$6*$P$66)*12)</f>
        <v>386.0562046130113</v>
      </c>
      <c r="V11" s="73">
        <f>U11/M11</f>
        <v>0.4584990553598709</v>
      </c>
      <c r="W11" s="302">
        <f aca="true" t="shared" si="2" ref="W11:W26">(M11/$M$27)*$W$28</f>
        <v>25958.718660296647</v>
      </c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N11" s="101">
        <f>0.03*(D16-F16-H16)</f>
        <v>37387.5</v>
      </c>
      <c r="AO11" s="55">
        <f>(AN11/(M16*$P$8))/12</f>
        <v>13.53393665158371</v>
      </c>
      <c r="AP11" s="55">
        <f>T16+AO11</f>
        <v>72.53393665158372</v>
      </c>
      <c r="AQ11" s="102">
        <f>((AN11/'Assessed Value'!E19)*'Assessed Value'!G19)/12</f>
        <v>5.656791266986651</v>
      </c>
      <c r="AR11" s="84"/>
      <c r="AS11" s="107">
        <f>'Debt Service'!K61</f>
        <v>97422.22222222222</v>
      </c>
      <c r="AT11" s="107">
        <f>AS11/(12*$P$8*M16)</f>
        <v>35.265962795374556</v>
      </c>
      <c r="AU11" s="107">
        <f>T16+AT11</f>
        <v>94.26596279537455</v>
      </c>
      <c r="AV11" s="107">
        <f>((AS11/'Assessed Value'!E19)*'Assessed Value'!G19)/12</f>
        <v>14.740145125432283</v>
      </c>
      <c r="AW11" s="157">
        <f>(AS11/'Assessed Value'!E19)*1000</f>
        <v>0.764587163288911</v>
      </c>
      <c r="AX11" s="24"/>
      <c r="AY11" s="58">
        <f>(((AS11+AN11)/'Assessed Value'!E19)*'Assessed Value'!G19)/12</f>
        <v>20.396936392418933</v>
      </c>
      <c r="AZ11" s="58">
        <f>T16+AO11+AT11</f>
        <v>107.79989944695828</v>
      </c>
      <c r="BA11" s="58">
        <f>T16</f>
        <v>59</v>
      </c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T11"/>
      <c r="BU11"/>
      <c r="BV11"/>
      <c r="BW11"/>
    </row>
    <row r="12" spans="1:75" ht="13.5" customHeight="1">
      <c r="A12" s="9" t="s">
        <v>32</v>
      </c>
      <c r="B12" s="9">
        <f>VLOOKUP(C12,'Input Data'!$C$2:$D$28,2,FALSE)</f>
        <v>3</v>
      </c>
      <c r="C12" s="9" t="s">
        <v>2</v>
      </c>
      <c r="D12" s="10">
        <v>5900000</v>
      </c>
      <c r="E12" s="10">
        <v>1290000</v>
      </c>
      <c r="F12" s="10">
        <v>860000</v>
      </c>
      <c r="G12" s="10">
        <v>3750000</v>
      </c>
      <c r="H12" s="10">
        <f>J12*450</f>
        <v>1602000</v>
      </c>
      <c r="I12" s="11">
        <v>567536</v>
      </c>
      <c r="J12" s="11">
        <v>3560</v>
      </c>
      <c r="K12" s="12">
        <v>1728</v>
      </c>
      <c r="L12" s="12">
        <v>890</v>
      </c>
      <c r="M12" s="12">
        <f aca="true" t="shared" si="3" ref="M12:M27">(K12-L12)+(L12*7/12)</f>
        <v>1357.1666666666665</v>
      </c>
      <c r="N12" s="23">
        <f aca="true" t="shared" si="4" ref="N12:N26">442*I12/5280</f>
        <v>47509.642424242425</v>
      </c>
      <c r="O12" s="23">
        <f aca="true" t="shared" si="5" ref="O12:O26">J12*17</f>
        <v>60520</v>
      </c>
      <c r="P12" s="348">
        <f aca="true" t="shared" si="6" ref="P12:P26">39*K12</f>
        <v>67392</v>
      </c>
      <c r="Q12" s="348">
        <v>28800</v>
      </c>
      <c r="R12" s="23">
        <f>(N12+O12+P12+Q12)*1.1</f>
        <v>224643.8066666667</v>
      </c>
      <c r="S12" s="352">
        <f aca="true" t="shared" si="7" ref="S12:S58">R12/12/($P$8*M12)</f>
        <v>27.587351917802618</v>
      </c>
      <c r="T12" s="24">
        <f t="shared" si="0"/>
        <v>59</v>
      </c>
      <c r="U12" s="72">
        <f t="shared" si="1"/>
        <v>633.942337359371</v>
      </c>
      <c r="V12" s="73">
        <f aca="true" t="shared" si="8" ref="V12:V26">U12/M12</f>
        <v>0.46710721161196445</v>
      </c>
      <c r="W12" s="302">
        <f t="shared" si="2"/>
        <v>41841.22051678455</v>
      </c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N12" s="101">
        <f>0.03*(D12-F12-H12)</f>
        <v>103140</v>
      </c>
      <c r="AO12" s="55">
        <f>(AN12/(M12*$P$8))/12</f>
        <v>12.666093577305661</v>
      </c>
      <c r="AP12" s="55">
        <f>T12+AO12</f>
        <v>71.66609357730566</v>
      </c>
      <c r="AQ12" s="102">
        <f>((AN12/'Assessed Value'!E3)*'Assessed Value'!G3)/12</f>
        <v>4.490974551004852</v>
      </c>
      <c r="AR12" s="84"/>
      <c r="AS12" s="107">
        <f>'Debt Service'!K21</f>
        <v>266666.6666666667</v>
      </c>
      <c r="AT12" s="107">
        <f>AS12/(12*$P$8*M12)</f>
        <v>32.747963486020716</v>
      </c>
      <c r="AU12" s="107">
        <f>T12+AT12</f>
        <v>91.74796348602072</v>
      </c>
      <c r="AV12" s="107">
        <f>((AS12/'Assessed Value'!E3)*'Assessed Value'!G3)/12</f>
        <v>11.611336179962128</v>
      </c>
      <c r="AW12" s="157">
        <f>(AS12/'Assessed Value'!E3)*1000</f>
        <v>0.5315273617532495</v>
      </c>
      <c r="AX12" s="24"/>
      <c r="AY12" s="58">
        <f>(((AS12+AN12)/'Assessed Value'!E3)*'Assessed Value'!G3)/12</f>
        <v>16.10231073096698</v>
      </c>
      <c r="AZ12" s="58">
        <f>T12+AO12+AT12</f>
        <v>104.41405706332637</v>
      </c>
      <c r="BA12" s="58">
        <f>T12</f>
        <v>59</v>
      </c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T12"/>
      <c r="BU12"/>
      <c r="BV12"/>
      <c r="BW12"/>
    </row>
    <row r="13" spans="1:75" ht="13.5" customHeight="1">
      <c r="A13" s="9" t="s">
        <v>32</v>
      </c>
      <c r="B13" s="9">
        <f>VLOOKUP(C13,'Input Data'!$C$2:$D$28,2,FALSE)</f>
        <v>4</v>
      </c>
      <c r="C13" s="9" t="s">
        <v>3</v>
      </c>
      <c r="D13" s="10">
        <v>2800000</v>
      </c>
      <c r="E13" s="10">
        <v>560000</v>
      </c>
      <c r="F13" s="10">
        <v>480000</v>
      </c>
      <c r="G13" s="10">
        <v>1760000</v>
      </c>
      <c r="H13" s="10">
        <f aca="true" t="shared" si="9" ref="H13:H26">J13*450</f>
        <v>623250</v>
      </c>
      <c r="I13" s="11">
        <v>263956</v>
      </c>
      <c r="J13" s="11">
        <v>1385</v>
      </c>
      <c r="K13" s="12">
        <v>574</v>
      </c>
      <c r="L13" s="12">
        <v>58</v>
      </c>
      <c r="M13" s="12">
        <f t="shared" si="3"/>
        <v>549.8333333333334</v>
      </c>
      <c r="N13" s="23">
        <f t="shared" si="4"/>
        <v>22096.316666666666</v>
      </c>
      <c r="O13" s="23">
        <f t="shared" si="5"/>
        <v>23545</v>
      </c>
      <c r="P13" s="348">
        <f t="shared" si="6"/>
        <v>22386</v>
      </c>
      <c r="Q13" s="348">
        <v>28800</v>
      </c>
      <c r="R13" s="23">
        <f aca="true" t="shared" si="10" ref="R13:R26">(N13+O13+P13+Q13)*1.1</f>
        <v>106510.04833333334</v>
      </c>
      <c r="S13" s="352">
        <f t="shared" si="7"/>
        <v>32.285555723956755</v>
      </c>
      <c r="T13" s="24">
        <f t="shared" si="0"/>
        <v>59</v>
      </c>
      <c r="U13" s="72">
        <f t="shared" si="1"/>
        <v>300.57017816156826</v>
      </c>
      <c r="V13" s="73">
        <f t="shared" si="8"/>
        <v>0.5466568866230401</v>
      </c>
      <c r="W13" s="302">
        <f t="shared" si="2"/>
        <v>16951.26937060939</v>
      </c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N13" s="101">
        <f>0.03*(D13-F13-H13)</f>
        <v>50902.5</v>
      </c>
      <c r="AO13" s="55">
        <f>(AN13/(M13*$P$8))/12</f>
        <v>15.429675659290693</v>
      </c>
      <c r="AP13" s="55">
        <f>T13+AO13</f>
        <v>74.4296756592907</v>
      </c>
      <c r="AQ13" s="102">
        <f>((AN13/'Assessed Value'!E4)*'Assessed Value'!G4)/12</f>
        <v>5.896228843450199</v>
      </c>
      <c r="AR13" s="84"/>
      <c r="AS13" s="107">
        <f>'Debt Service'!K29</f>
        <v>125155.55555555556</v>
      </c>
      <c r="AT13" s="107">
        <f>AS13/(12*$P$8*M13)</f>
        <v>37.937422114445454</v>
      </c>
      <c r="AU13" s="107">
        <f>T13+AT13</f>
        <v>96.93742211444545</v>
      </c>
      <c r="AV13" s="107">
        <f>((AS13/'Assessed Value'!E4)*'Assessed Value'!G4)/12</f>
        <v>14.497240736401956</v>
      </c>
      <c r="AW13" s="157">
        <f>(AS13/'Assessed Value'!E4)*1000</f>
        <v>0.7288370450741306</v>
      </c>
      <c r="AX13" s="24"/>
      <c r="AY13" s="58">
        <f>(((AS13+AN13)/'Assessed Value'!E4)*'Assessed Value'!G4)/12</f>
        <v>20.393469579852155</v>
      </c>
      <c r="AZ13" s="58">
        <f>T13+AO13+AT13</f>
        <v>112.36709777373615</v>
      </c>
      <c r="BA13" s="58">
        <f>T13</f>
        <v>59</v>
      </c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T13"/>
      <c r="BU13"/>
      <c r="BV13"/>
      <c r="BW13"/>
    </row>
    <row r="14" spans="1:75" ht="13.5" customHeight="1">
      <c r="A14" s="9" t="s">
        <v>32</v>
      </c>
      <c r="B14" s="9">
        <f>VLOOKUP(C14,'Input Data'!$C$2:$D$28,2,FALSE)</f>
        <v>5</v>
      </c>
      <c r="C14" s="9" t="s">
        <v>4</v>
      </c>
      <c r="D14" s="10">
        <v>2670000</v>
      </c>
      <c r="E14" s="10">
        <v>530000</v>
      </c>
      <c r="F14" s="10">
        <v>430000</v>
      </c>
      <c r="G14" s="10">
        <v>1710000</v>
      </c>
      <c r="H14" s="10">
        <f t="shared" si="9"/>
        <v>802350</v>
      </c>
      <c r="I14" s="11">
        <v>292591</v>
      </c>
      <c r="J14" s="11">
        <v>1783</v>
      </c>
      <c r="K14" s="12">
        <v>681</v>
      </c>
      <c r="L14" s="12">
        <v>66</v>
      </c>
      <c r="M14" s="12">
        <f t="shared" si="3"/>
        <v>653.5</v>
      </c>
      <c r="N14" s="23">
        <f t="shared" si="4"/>
        <v>24493.413257575758</v>
      </c>
      <c r="O14" s="23">
        <f t="shared" si="5"/>
        <v>30311</v>
      </c>
      <c r="P14" s="348">
        <f t="shared" si="6"/>
        <v>26559</v>
      </c>
      <c r="Q14" s="348">
        <v>28800</v>
      </c>
      <c r="R14" s="23">
        <f t="shared" si="10"/>
        <v>121179.75458333334</v>
      </c>
      <c r="S14" s="352">
        <f t="shared" si="7"/>
        <v>30.905318689960044</v>
      </c>
      <c r="T14" s="24">
        <f t="shared" si="0"/>
        <v>59</v>
      </c>
      <c r="U14" s="72">
        <f t="shared" si="1"/>
        <v>341.96792691989316</v>
      </c>
      <c r="V14" s="73">
        <f t="shared" si="8"/>
        <v>0.5232868047741288</v>
      </c>
      <c r="W14" s="302">
        <f t="shared" si="2"/>
        <v>20147.295302261115</v>
      </c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N14" s="101">
        <f>0.03*(D14-F14-H14)</f>
        <v>43129.5</v>
      </c>
      <c r="AO14" s="55">
        <f>(AN14/(M14*$P$8))/12</f>
        <v>10.999617444529456</v>
      </c>
      <c r="AP14" s="55">
        <f>T14+AO14</f>
        <v>69.99961744452946</v>
      </c>
      <c r="AQ14" s="102">
        <f>((AN14/'Assessed Value'!E5)*'Assessed Value'!G5)/12</f>
        <v>4.484586805834237</v>
      </c>
      <c r="AR14" s="84"/>
      <c r="AS14" s="107">
        <f>'Debt Service'!K37</f>
        <v>121600</v>
      </c>
      <c r="AT14" s="107">
        <f>AS14/(12*$P$8*M14)</f>
        <v>31.012496812037746</v>
      </c>
      <c r="AU14" s="107">
        <f>T14+AT14</f>
        <v>90.01249681203774</v>
      </c>
      <c r="AV14" s="107">
        <f>((AS14/'Assessed Value'!E5)*'Assessed Value'!G5)/12</f>
        <v>12.643915547118405</v>
      </c>
      <c r="AW14" s="157">
        <f>(AS14/'Assessed Value'!E5)*1000</f>
        <v>0.8929454394988966</v>
      </c>
      <c r="AX14" s="24"/>
      <c r="AY14" s="58">
        <f>(((AS14+AN14)/'Assessed Value'!E5)*'Assessed Value'!G5)/12</f>
        <v>17.12850235295264</v>
      </c>
      <c r="AZ14" s="58">
        <f>T14+AO14+AT14</f>
        <v>101.0121142565672</v>
      </c>
      <c r="BA14" s="58">
        <f>T14</f>
        <v>59</v>
      </c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T14"/>
      <c r="BU14"/>
      <c r="BV14"/>
      <c r="BW14"/>
    </row>
    <row r="15" spans="1:75" ht="13.5" customHeight="1">
      <c r="A15" s="9" t="s">
        <v>32</v>
      </c>
      <c r="B15" s="9">
        <f>VLOOKUP(C15,'Input Data'!$C$2:$D$28,2,FALSE)</f>
        <v>6</v>
      </c>
      <c r="C15" s="9" t="s">
        <v>5</v>
      </c>
      <c r="D15" s="10">
        <v>2400000</v>
      </c>
      <c r="E15" s="10">
        <v>500000</v>
      </c>
      <c r="F15" s="10">
        <v>390000</v>
      </c>
      <c r="G15" s="10">
        <v>1510000</v>
      </c>
      <c r="H15" s="10">
        <f t="shared" si="9"/>
        <v>594000</v>
      </c>
      <c r="I15" s="11">
        <v>254954</v>
      </c>
      <c r="J15" s="11">
        <v>1320</v>
      </c>
      <c r="K15" s="12">
        <v>591</v>
      </c>
      <c r="L15" s="12">
        <v>67</v>
      </c>
      <c r="M15" s="12">
        <f t="shared" si="3"/>
        <v>563.0833333333334</v>
      </c>
      <c r="N15" s="23">
        <f t="shared" si="4"/>
        <v>21342.74015151515</v>
      </c>
      <c r="O15" s="23">
        <f t="shared" si="5"/>
        <v>22440</v>
      </c>
      <c r="P15" s="348">
        <f t="shared" si="6"/>
        <v>23049</v>
      </c>
      <c r="Q15" s="348">
        <v>28800</v>
      </c>
      <c r="R15" s="23">
        <f t="shared" si="10"/>
        <v>105194.91416666667</v>
      </c>
      <c r="S15" s="352">
        <f t="shared" si="7"/>
        <v>31.13657367668097</v>
      </c>
      <c r="T15" s="24">
        <f t="shared" si="0"/>
        <v>59</v>
      </c>
      <c r="U15" s="72">
        <f t="shared" si="1"/>
        <v>296.8588840915077</v>
      </c>
      <c r="V15" s="73">
        <f t="shared" si="8"/>
        <v>0.5272023988601587</v>
      </c>
      <c r="W15" s="302">
        <f t="shared" si="2"/>
        <v>17359.764646439475</v>
      </c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N15" s="101">
        <f>0.03*(D15-F15-H15)</f>
        <v>42480</v>
      </c>
      <c r="AO15" s="55">
        <f>(AN15/(M15*$P$8))/12</f>
        <v>12.57362734941542</v>
      </c>
      <c r="AP15" s="55">
        <f>T15+AO15</f>
        <v>71.57362734941542</v>
      </c>
      <c r="AQ15" s="102">
        <f>((AN15/'Assessed Value'!E6)*'Assessed Value'!G6)/12</f>
        <v>5.71634761497146</v>
      </c>
      <c r="AR15" s="84"/>
      <c r="AS15" s="107">
        <f>'Debt Service'!K45</f>
        <v>107377.77777777778</v>
      </c>
      <c r="AT15" s="107">
        <f>AS15/(12*$P$8*M15)</f>
        <v>31.782678045812574</v>
      </c>
      <c r="AU15" s="107">
        <f>T15+AT15</f>
        <v>90.78267804581257</v>
      </c>
      <c r="AV15" s="107">
        <f>((AS15/'Assessed Value'!E6)*'Assessed Value'!G6)/12</f>
        <v>14.4493574364627</v>
      </c>
      <c r="AW15" s="157">
        <f>(AS15/'Assessed Value'!E6)*1000</f>
        <v>0.7290311308287478</v>
      </c>
      <c r="AX15" s="24"/>
      <c r="AY15" s="58">
        <f>(((AS15+AN15)/'Assessed Value'!E6)*'Assessed Value'!G6)/12</f>
        <v>20.165705051434163</v>
      </c>
      <c r="AZ15" s="58">
        <f>T15+AO15+AT15</f>
        <v>103.35630539522799</v>
      </c>
      <c r="BA15" s="58">
        <f>T15</f>
        <v>59</v>
      </c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T15"/>
      <c r="BU15"/>
      <c r="BV15"/>
      <c r="BW15"/>
    </row>
    <row r="16" spans="1:75" ht="13.5" customHeight="1">
      <c r="A16" s="9" t="s">
        <v>32</v>
      </c>
      <c r="B16" s="9">
        <f>VLOOKUP(C16,'Input Data'!$C$2:$D$28,2,FALSE)</f>
        <v>8</v>
      </c>
      <c r="C16" s="9" t="s">
        <v>7</v>
      </c>
      <c r="D16" s="10">
        <v>2210000</v>
      </c>
      <c r="E16" s="10">
        <v>450000</v>
      </c>
      <c r="F16" s="10">
        <v>390000</v>
      </c>
      <c r="G16" s="10">
        <v>1370000</v>
      </c>
      <c r="H16" s="10">
        <f>J16*450</f>
        <v>573750</v>
      </c>
      <c r="I16" s="11">
        <v>265780</v>
      </c>
      <c r="J16" s="11">
        <v>1275</v>
      </c>
      <c r="K16" s="12">
        <v>485</v>
      </c>
      <c r="L16" s="12">
        <v>59</v>
      </c>
      <c r="M16" s="12">
        <f>(K16-L16)+(L16*7/12)</f>
        <v>460.4166666666667</v>
      </c>
      <c r="N16" s="23">
        <f>442*I16/5280</f>
        <v>22249.007575757576</v>
      </c>
      <c r="O16" s="23">
        <f>J16*17</f>
        <v>21675</v>
      </c>
      <c r="P16" s="348">
        <f>39*K16</f>
        <v>18915</v>
      </c>
      <c r="Q16" s="348">
        <v>28800</v>
      </c>
      <c r="R16" s="23">
        <f>(N16+O16+P16+Q16)*1.1</f>
        <v>100802.90833333334</v>
      </c>
      <c r="S16" s="352">
        <f t="shared" si="7"/>
        <v>36.48974057315234</v>
      </c>
      <c r="T16" s="24">
        <f t="shared" si="0"/>
        <v>59</v>
      </c>
      <c r="U16" s="72">
        <f t="shared" si="1"/>
        <v>284.46469221507317</v>
      </c>
      <c r="V16" s="73">
        <f>U16/M16</f>
        <v>0.6178418654445028</v>
      </c>
      <c r="W16" s="302">
        <f t="shared" si="2"/>
        <v>14194.568546925868</v>
      </c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N16" s="101">
        <f aca="true" t="shared" si="11" ref="AN16:AN26">0.03*(D17-F17-H17)</f>
        <v>37026</v>
      </c>
      <c r="AO16" s="55">
        <f aca="true" t="shared" si="12" ref="AO16:AO26">(AN16/(M17*$P$8))/12</f>
        <v>11.595991230817413</v>
      </c>
      <c r="AP16" s="55">
        <f aca="true" t="shared" si="13" ref="AP16:AP26">T17+AO16</f>
        <v>70.59599123081742</v>
      </c>
      <c r="AQ16" s="102">
        <f>((AN16/'Assessed Value'!E7)*'Assessed Value'!G7)/12</f>
        <v>4.84915780058827</v>
      </c>
      <c r="AR16" s="84"/>
      <c r="AS16" s="107">
        <f>'Debt Service'!K77</f>
        <v>98133.33333333334</v>
      </c>
      <c r="AT16" s="107">
        <f aca="true" t="shared" si="14" ref="AT16:AT26">AS16/(12*$P$8*M17)</f>
        <v>30.733897066499637</v>
      </c>
      <c r="AU16" s="107">
        <f aca="true" t="shared" si="15" ref="AU16:AU26">T17+AT16</f>
        <v>89.73389706649964</v>
      </c>
      <c r="AV16" s="107">
        <f>((AS16/'Assessed Value'!E7)*'Assessed Value'!G7)/12</f>
        <v>12.85215845165728</v>
      </c>
      <c r="AW16" s="157">
        <f>(AS16/'Assessed Value'!E7)*1000</f>
        <v>0.6851690565859085</v>
      </c>
      <c r="AX16" s="24"/>
      <c r="AY16" s="58">
        <f>(((AS16+AN16)/'Assessed Value'!E7)*'Assessed Value'!G7)/12</f>
        <v>17.70131625224555</v>
      </c>
      <c r="AZ16" s="58">
        <f aca="true" t="shared" si="16" ref="AZ16:AZ26">T17+AO16+AT16</f>
        <v>101.32988829731705</v>
      </c>
      <c r="BA16" s="58">
        <f aca="true" t="shared" si="17" ref="BA16:BA26">T17</f>
        <v>59</v>
      </c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T16"/>
      <c r="BU16"/>
      <c r="BV16"/>
      <c r="BW16"/>
    </row>
    <row r="17" spans="1:75" ht="13.5" customHeight="1">
      <c r="A17" s="9" t="s">
        <v>32</v>
      </c>
      <c r="B17" s="9">
        <f>VLOOKUP(C17,'Input Data'!$C$2:$D$28,2,FALSE)</f>
        <v>11</v>
      </c>
      <c r="C17" s="363" t="s">
        <v>9</v>
      </c>
      <c r="D17" s="364">
        <v>2150000</v>
      </c>
      <c r="E17" s="364">
        <v>450000</v>
      </c>
      <c r="F17" s="364">
        <v>320000</v>
      </c>
      <c r="G17" s="364">
        <v>1380000</v>
      </c>
      <c r="H17" s="364">
        <f t="shared" si="9"/>
        <v>595800</v>
      </c>
      <c r="I17" s="365">
        <v>211266</v>
      </c>
      <c r="J17" s="365">
        <v>1324</v>
      </c>
      <c r="K17" s="366">
        <v>598</v>
      </c>
      <c r="L17" s="366">
        <v>158</v>
      </c>
      <c r="M17" s="366">
        <f t="shared" si="3"/>
        <v>532.1666666666666</v>
      </c>
      <c r="N17" s="348">
        <f t="shared" si="4"/>
        <v>17685.525</v>
      </c>
      <c r="O17" s="348">
        <f t="shared" si="5"/>
        <v>22508</v>
      </c>
      <c r="P17" s="348">
        <f t="shared" si="6"/>
        <v>23322</v>
      </c>
      <c r="Q17" s="348">
        <v>28800</v>
      </c>
      <c r="R17" s="348">
        <f t="shared" si="10"/>
        <v>101547.0775</v>
      </c>
      <c r="S17" s="352">
        <f t="shared" si="7"/>
        <v>31.803030848731602</v>
      </c>
      <c r="T17" s="65">
        <f t="shared" si="0"/>
        <v>59</v>
      </c>
      <c r="U17" s="72">
        <f t="shared" si="1"/>
        <v>286.56472937126085</v>
      </c>
      <c r="V17" s="73">
        <f t="shared" si="8"/>
        <v>0.5384868074624383</v>
      </c>
      <c r="W17" s="302">
        <f t="shared" si="2"/>
        <v>16406.609002835943</v>
      </c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N17" s="101">
        <f t="shared" si="11"/>
        <v>34699.5</v>
      </c>
      <c r="AO17" s="55">
        <f t="shared" si="12"/>
        <v>15.511622708985248</v>
      </c>
      <c r="AP17" s="55">
        <f t="shared" si="13"/>
        <v>74.51162270898524</v>
      </c>
      <c r="AQ17" s="102">
        <f>((AN17/'Assessed Value'!E8)*'Assessed Value'!G8)/12</f>
        <v>3.7464500394870863</v>
      </c>
      <c r="AR17" s="84"/>
      <c r="AS17" s="107">
        <f>'Debt Service'!K85</f>
        <v>100977.77777777778</v>
      </c>
      <c r="AT17" s="107">
        <f t="shared" si="14"/>
        <v>45.139820195698604</v>
      </c>
      <c r="AU17" s="107">
        <f t="shared" si="15"/>
        <v>104.1398201956986</v>
      </c>
      <c r="AV17" s="107">
        <f>((AS17/'Assessed Value'!E8)*'Assessed Value'!G8)/12</f>
        <v>10.902410684386629</v>
      </c>
      <c r="AW17" s="157">
        <f>(AS17/'Assessed Value'!E8)*1000</f>
        <v>1.1122805478006175</v>
      </c>
      <c r="AX17" s="24"/>
      <c r="AY17" s="58">
        <f>(((AS17+AN17)/'Assessed Value'!E8)*'Assessed Value'!G8)/12</f>
        <v>14.648860723873716</v>
      </c>
      <c r="AZ17" s="58">
        <f t="shared" si="16"/>
        <v>119.65144290468385</v>
      </c>
      <c r="BA17" s="58">
        <f t="shared" si="17"/>
        <v>59</v>
      </c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T17"/>
      <c r="BU17"/>
      <c r="BV17"/>
      <c r="BW17"/>
    </row>
    <row r="18" spans="1:75" ht="13.5" customHeight="1">
      <c r="A18" s="9" t="s">
        <v>32</v>
      </c>
      <c r="B18" s="9">
        <f>VLOOKUP(C18,'Input Data'!$C$2:$D$28,2,FALSE)</f>
        <v>13</v>
      </c>
      <c r="C18" s="9" t="s">
        <v>10</v>
      </c>
      <c r="D18" s="10">
        <v>2240000</v>
      </c>
      <c r="E18" s="10">
        <v>440000</v>
      </c>
      <c r="F18" s="10">
        <v>380000</v>
      </c>
      <c r="G18" s="10">
        <v>1420000</v>
      </c>
      <c r="H18" s="10">
        <f t="shared" si="9"/>
        <v>703350</v>
      </c>
      <c r="I18" s="11">
        <v>271827</v>
      </c>
      <c r="J18" s="11">
        <v>1563</v>
      </c>
      <c r="K18" s="12">
        <v>402</v>
      </c>
      <c r="L18" s="12">
        <v>70</v>
      </c>
      <c r="M18" s="366">
        <f t="shared" si="3"/>
        <v>372.8333333333333</v>
      </c>
      <c r="N18" s="23">
        <f t="shared" si="4"/>
        <v>22755.21477272727</v>
      </c>
      <c r="O18" s="23">
        <f t="shared" si="5"/>
        <v>26571</v>
      </c>
      <c r="P18" s="348">
        <f t="shared" si="6"/>
        <v>15678</v>
      </c>
      <c r="Q18" s="348">
        <v>28800</v>
      </c>
      <c r="R18" s="23">
        <f t="shared" si="10"/>
        <v>103184.63625</v>
      </c>
      <c r="S18" s="352">
        <f t="shared" si="7"/>
        <v>46.12634611086276</v>
      </c>
      <c r="T18" s="24">
        <f t="shared" si="0"/>
        <v>59</v>
      </c>
      <c r="U18" s="72">
        <f t="shared" si="1"/>
        <v>291.1859020487639</v>
      </c>
      <c r="V18" s="73">
        <f t="shared" si="8"/>
        <v>0.7810082307968634</v>
      </c>
      <c r="W18" s="302">
        <f t="shared" si="2"/>
        <v>11494.389082162232</v>
      </c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N18" s="101">
        <f t="shared" si="11"/>
        <v>14022</v>
      </c>
      <c r="AO18" s="55">
        <f t="shared" si="12"/>
        <v>21.50613496932515</v>
      </c>
      <c r="AP18" s="55">
        <f t="shared" si="13"/>
        <v>80.50613496932515</v>
      </c>
      <c r="AQ18" s="102">
        <f>((AN18/'Assessed Value'!E9)*'Assessed Value'!G9)/12</f>
        <v>8.310021837671865</v>
      </c>
      <c r="AR18" s="84"/>
      <c r="AS18" s="107">
        <f>'Debt Service'!K109</f>
        <v>29866.666666666668</v>
      </c>
      <c r="AT18" s="107">
        <f t="shared" si="14"/>
        <v>45.807770961145195</v>
      </c>
      <c r="AU18" s="107">
        <f t="shared" si="15"/>
        <v>104.8077709611452</v>
      </c>
      <c r="AV18" s="107">
        <f>((AS18/'Assessed Value'!E9)*'Assessed Value'!G9)/12</f>
        <v>17.700231936846837</v>
      </c>
      <c r="AW18" s="157">
        <f>(AS18/'Assessed Value'!E9)*1000</f>
        <v>0.7278624849407201</v>
      </c>
      <c r="AX18" s="24"/>
      <c r="AY18" s="58">
        <f>(((AS18+AN18)/'Assessed Value'!E9)*'Assessed Value'!G9)/12</f>
        <v>26.010253774518706</v>
      </c>
      <c r="AZ18" s="58">
        <f t="shared" si="16"/>
        <v>126.31390593047034</v>
      </c>
      <c r="BA18" s="58">
        <f t="shared" si="17"/>
        <v>59</v>
      </c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T18"/>
      <c r="BU18"/>
      <c r="BV18"/>
      <c r="BW18"/>
    </row>
    <row r="19" spans="1:75" ht="13.5" customHeight="1">
      <c r="A19" s="9" t="s">
        <v>32</v>
      </c>
      <c r="B19" s="9">
        <f>VLOOKUP(C19,'Input Data'!$C$2:$D$28,2,FALSE)</f>
        <v>19</v>
      </c>
      <c r="C19" s="9" t="s">
        <v>13</v>
      </c>
      <c r="D19" s="10">
        <v>700000</v>
      </c>
      <c r="E19" s="10">
        <v>150000</v>
      </c>
      <c r="F19" s="10">
        <v>130000</v>
      </c>
      <c r="G19" s="10">
        <v>420000</v>
      </c>
      <c r="H19" s="10">
        <f t="shared" si="9"/>
        <v>102600</v>
      </c>
      <c r="I19" s="11">
        <v>53093</v>
      </c>
      <c r="J19" s="11">
        <v>228</v>
      </c>
      <c r="K19" s="12">
        <v>112</v>
      </c>
      <c r="L19" s="12">
        <v>8</v>
      </c>
      <c r="M19" s="12">
        <f t="shared" si="3"/>
        <v>108.66666666666667</v>
      </c>
      <c r="N19" s="23">
        <f t="shared" si="4"/>
        <v>4444.527651515152</v>
      </c>
      <c r="O19" s="23">
        <f t="shared" si="5"/>
        <v>3876</v>
      </c>
      <c r="P19" s="348">
        <f t="shared" si="6"/>
        <v>4368</v>
      </c>
      <c r="Q19" s="348">
        <v>28800</v>
      </c>
      <c r="R19" s="23">
        <f t="shared" si="10"/>
        <v>45637.38041666667</v>
      </c>
      <c r="S19" s="352">
        <f t="shared" si="7"/>
        <v>69.99598223415133</v>
      </c>
      <c r="T19" s="24">
        <f t="shared" si="0"/>
        <v>59</v>
      </c>
      <c r="U19" s="72">
        <f t="shared" si="1"/>
        <v>128.7881826861572</v>
      </c>
      <c r="V19" s="73">
        <f t="shared" si="8"/>
        <v>1.1851673253327348</v>
      </c>
      <c r="W19" s="302">
        <f t="shared" si="2"/>
        <v>3350.175092342323</v>
      </c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N19" s="101">
        <f t="shared" si="11"/>
        <v>36298.5</v>
      </c>
      <c r="AO19" s="55">
        <f t="shared" si="12"/>
        <v>13.394280442804428</v>
      </c>
      <c r="AP19" s="55">
        <f t="shared" si="13"/>
        <v>72.39428044280443</v>
      </c>
      <c r="AQ19" s="102">
        <f>((AN19/'Assessed Value'!E10)*'Assessed Value'!G10)/12</f>
        <v>5.958838228843496</v>
      </c>
      <c r="AR19" s="84"/>
      <c r="AS19" s="107">
        <f>'Debt Service'!K125</f>
        <v>98844.44444444444</v>
      </c>
      <c r="AT19" s="107">
        <f t="shared" si="14"/>
        <v>36.47396473964739</v>
      </c>
      <c r="AU19" s="107">
        <f t="shared" si="15"/>
        <v>95.47396473964739</v>
      </c>
      <c r="AV19" s="107">
        <f>((AS19/'Assessed Value'!E10)*'Assessed Value'!G10)/12</f>
        <v>16.22651223230582</v>
      </c>
      <c r="AW19" s="157">
        <f>(AS19/'Assessed Value'!E10)*1000</f>
        <v>0.934368361399969</v>
      </c>
      <c r="AX19" s="24"/>
      <c r="AY19" s="58">
        <f>(((AS19+AN19)/'Assessed Value'!E10)*'Assessed Value'!G10)/12</f>
        <v>22.185350461149312</v>
      </c>
      <c r="AZ19" s="58">
        <f t="shared" si="16"/>
        <v>108.86824518245183</v>
      </c>
      <c r="BA19" s="58">
        <f t="shared" si="17"/>
        <v>59</v>
      </c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T19"/>
      <c r="BU19"/>
      <c r="BV19"/>
      <c r="BW19"/>
    </row>
    <row r="20" spans="1:75" ht="13.5" customHeight="1">
      <c r="A20" s="9" t="s">
        <v>32</v>
      </c>
      <c r="B20" s="9">
        <f>VLOOKUP(C20,'Input Data'!$C$2:$D$28,2,FALSE)</f>
        <v>21</v>
      </c>
      <c r="C20" s="363" t="s">
        <v>15</v>
      </c>
      <c r="D20" s="364">
        <v>2140000</v>
      </c>
      <c r="E20" s="364">
        <v>400000</v>
      </c>
      <c r="F20" s="364">
        <v>350000</v>
      </c>
      <c r="G20" s="364">
        <v>1390000</v>
      </c>
      <c r="H20" s="364">
        <f t="shared" si="9"/>
        <v>580050</v>
      </c>
      <c r="I20" s="365">
        <v>218671</v>
      </c>
      <c r="J20" s="365">
        <v>1289</v>
      </c>
      <c r="K20" s="366">
        <v>465</v>
      </c>
      <c r="L20" s="366">
        <v>32</v>
      </c>
      <c r="M20" s="366">
        <f t="shared" si="3"/>
        <v>451.6666666666667</v>
      </c>
      <c r="N20" s="348">
        <f t="shared" si="4"/>
        <v>18305.413257575758</v>
      </c>
      <c r="O20" s="348">
        <f t="shared" si="5"/>
        <v>21913</v>
      </c>
      <c r="P20" s="348">
        <f t="shared" si="6"/>
        <v>18135</v>
      </c>
      <c r="Q20" s="348">
        <v>28800</v>
      </c>
      <c r="R20" s="348">
        <f t="shared" si="10"/>
        <v>95868.75458333334</v>
      </c>
      <c r="S20" s="352">
        <f t="shared" si="7"/>
        <v>35.37592420049201</v>
      </c>
      <c r="T20" s="65">
        <f t="shared" si="0"/>
        <v>59</v>
      </c>
      <c r="U20" s="72">
        <f t="shared" si="1"/>
        <v>270.54056491515223</v>
      </c>
      <c r="V20" s="73">
        <f t="shared" si="8"/>
        <v>0.5989828005501525</v>
      </c>
      <c r="W20" s="302">
        <f t="shared" si="2"/>
        <v>13924.807515717323</v>
      </c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N20" s="101">
        <f>0.03*(D50-F50-H50)</f>
        <v>32791.5</v>
      </c>
      <c r="AO20" s="55">
        <f>(AN20/(M50*$P$8))/12</f>
        <v>14.070585711220767</v>
      </c>
      <c r="AP20" s="55">
        <f>T50+AO20</f>
        <v>73.07058571122077</v>
      </c>
      <c r="AQ20" s="102">
        <f>((AN20/'Assessed Value'!E11)*'Assessed Value'!G11)/12</f>
        <v>5.831084415458245</v>
      </c>
      <c r="AR20" s="84"/>
      <c r="AS20" s="107">
        <f>'Debt Service'!K141</f>
        <v>81777.77777777778</v>
      </c>
      <c r="AT20" s="107">
        <f>AS20/(12*$P$8*M50)</f>
        <v>35.09022861093232</v>
      </c>
      <c r="AU20" s="107">
        <f>T50+AT20</f>
        <v>94.09022861093231</v>
      </c>
      <c r="AV20" s="107">
        <f>((AS20/'Assessed Value'!E11)*'Assessed Value'!G11)/12</f>
        <v>14.541973545913045</v>
      </c>
      <c r="AW20" s="157">
        <f>(AS20/'Assessed Value'!E11)*1000</f>
        <v>0.9078390219550235</v>
      </c>
      <c r="AX20" s="24"/>
      <c r="AY20" s="58">
        <f>(((AS20+AN20)/'Assessed Value'!E11)*'Assessed Value'!G11)/12</f>
        <v>20.37305796137129</v>
      </c>
      <c r="AZ20" s="58">
        <f>T50+AO20+AT20</f>
        <v>108.1608143221531</v>
      </c>
      <c r="BA20" s="58">
        <f>T50</f>
        <v>59</v>
      </c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T20"/>
      <c r="BU20"/>
      <c r="BV20"/>
      <c r="BW20"/>
    </row>
    <row r="21" spans="1:75" ht="13.5" customHeight="1">
      <c r="A21" s="9" t="s">
        <v>32</v>
      </c>
      <c r="B21" s="9">
        <f>VLOOKUP(C21,'Input Data'!$C$2:$D$28,2,FALSE)</f>
        <v>25</v>
      </c>
      <c r="C21" s="9" t="s">
        <v>17</v>
      </c>
      <c r="D21" s="10">
        <v>1760000</v>
      </c>
      <c r="E21" s="10">
        <v>350000</v>
      </c>
      <c r="F21" s="10">
        <v>300000</v>
      </c>
      <c r="G21" s="10">
        <v>1110000</v>
      </c>
      <c r="H21" s="10">
        <f t="shared" si="9"/>
        <v>440550</v>
      </c>
      <c r="I21" s="11">
        <v>206909</v>
      </c>
      <c r="J21" s="11">
        <v>979</v>
      </c>
      <c r="K21" s="12">
        <v>329</v>
      </c>
      <c r="L21" s="12">
        <v>46</v>
      </c>
      <c r="M21" s="12">
        <f t="shared" si="3"/>
        <v>309.8333333333333</v>
      </c>
      <c r="N21" s="23">
        <f t="shared" si="4"/>
        <v>17320.791287878787</v>
      </c>
      <c r="O21" s="23">
        <f t="shared" si="5"/>
        <v>16643</v>
      </c>
      <c r="P21" s="348">
        <f t="shared" si="6"/>
        <v>12831</v>
      </c>
      <c r="Q21" s="348">
        <v>28800</v>
      </c>
      <c r="R21" s="23">
        <f t="shared" si="10"/>
        <v>83154.27041666668</v>
      </c>
      <c r="S21" s="352">
        <f t="shared" si="7"/>
        <v>44.73064573247267</v>
      </c>
      <c r="T21" s="24">
        <f t="shared" si="0"/>
        <v>59</v>
      </c>
      <c r="U21" s="72">
        <f t="shared" si="1"/>
        <v>234.66043124694286</v>
      </c>
      <c r="V21" s="73">
        <f t="shared" si="8"/>
        <v>0.7573763246270345</v>
      </c>
      <c r="W21" s="302">
        <f t="shared" si="2"/>
        <v>9552.109657460702</v>
      </c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N21" s="101">
        <f t="shared" si="11"/>
        <v>19683</v>
      </c>
      <c r="AO21" s="55">
        <f t="shared" si="12"/>
        <v>15.911883589329022</v>
      </c>
      <c r="AP21" s="55">
        <f t="shared" si="13"/>
        <v>74.91188358932902</v>
      </c>
      <c r="AQ21" s="102">
        <f>((AN21/'Assessed Value'!E13)*'Assessed Value'!G13)/12</f>
        <v>1.2579416017403742</v>
      </c>
      <c r="AR21" s="84"/>
      <c r="AS21" s="107">
        <f>'Debt Service'!K157</f>
        <v>61155.55555555556</v>
      </c>
      <c r="AT21" s="107">
        <f t="shared" si="14"/>
        <v>49.438605946285826</v>
      </c>
      <c r="AU21" s="107">
        <f t="shared" si="15"/>
        <v>108.43860594628583</v>
      </c>
      <c r="AV21" s="107">
        <f>((AS21/'Assessed Value'!E13)*'Assessed Value'!G13)/12</f>
        <v>3.9084548854787378</v>
      </c>
      <c r="AW21" s="157">
        <f>(AS21/'Assessed Value'!E13)*1000</f>
        <v>0.20707315992520528</v>
      </c>
      <c r="AX21" s="24"/>
      <c r="AY21" s="58">
        <f>(((AS21+AN21)/'Assessed Value'!E13)*'Assessed Value'!G13)/12</f>
        <v>5.166396487219112</v>
      </c>
      <c r="AZ21" s="58">
        <f t="shared" si="16"/>
        <v>124.35048953561486</v>
      </c>
      <c r="BA21" s="58">
        <f t="shared" si="17"/>
        <v>59</v>
      </c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T21"/>
      <c r="BU21"/>
      <c r="BV21"/>
      <c r="BW21"/>
    </row>
    <row r="22" spans="1:75" ht="13.5" customHeight="1">
      <c r="A22" s="9" t="s">
        <v>32</v>
      </c>
      <c r="B22" s="9">
        <f>VLOOKUP(C22,'Input Data'!$C$2:$D$28,2,FALSE)</f>
        <v>27</v>
      </c>
      <c r="C22" s="363" t="s">
        <v>18</v>
      </c>
      <c r="D22" s="364">
        <v>1300000</v>
      </c>
      <c r="E22" s="364">
        <v>220000</v>
      </c>
      <c r="F22" s="364">
        <v>220000</v>
      </c>
      <c r="G22" s="364">
        <v>860000</v>
      </c>
      <c r="H22" s="364">
        <f t="shared" si="9"/>
        <v>423900</v>
      </c>
      <c r="I22" s="365">
        <v>164124</v>
      </c>
      <c r="J22" s="365">
        <v>942</v>
      </c>
      <c r="K22" s="366">
        <v>227</v>
      </c>
      <c r="L22" s="366">
        <v>50</v>
      </c>
      <c r="M22" s="366">
        <f t="shared" si="3"/>
        <v>206.16666666666666</v>
      </c>
      <c r="N22" s="348">
        <f t="shared" si="4"/>
        <v>13739.168181818182</v>
      </c>
      <c r="O22" s="348">
        <f t="shared" si="5"/>
        <v>16014</v>
      </c>
      <c r="P22" s="348">
        <f t="shared" si="6"/>
        <v>8853</v>
      </c>
      <c r="Q22" s="348">
        <v>28800</v>
      </c>
      <c r="R22" s="348">
        <f t="shared" si="10"/>
        <v>74146.785</v>
      </c>
      <c r="S22" s="352">
        <f t="shared" si="7"/>
        <v>59.94081244947454</v>
      </c>
      <c r="T22" s="65">
        <f t="shared" si="0"/>
        <v>59</v>
      </c>
      <c r="U22" s="72">
        <f t="shared" si="1"/>
        <v>209.2414070436844</v>
      </c>
      <c r="V22" s="73">
        <f t="shared" si="8"/>
        <v>1.01491385793218</v>
      </c>
      <c r="W22" s="302">
        <f t="shared" si="2"/>
        <v>6356.083725808977</v>
      </c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N22" s="101">
        <f t="shared" si="11"/>
        <v>42406.5</v>
      </c>
      <c r="AO22" s="55">
        <f t="shared" si="12"/>
        <v>8.608708891595615</v>
      </c>
      <c r="AP22" s="55">
        <f t="shared" si="13"/>
        <v>67.60870889159561</v>
      </c>
      <c r="AQ22" s="102">
        <f>((AN22/'Assessed Value'!E14)*'Assessed Value'!G14)/12</f>
        <v>3.961441045037006</v>
      </c>
      <c r="AR22" s="84"/>
      <c r="AS22" s="107">
        <f>'Debt Service'!K173</f>
        <v>111644.44444444444</v>
      </c>
      <c r="AT22" s="107">
        <f t="shared" si="14"/>
        <v>22.66432083728064</v>
      </c>
      <c r="AU22" s="107">
        <f t="shared" si="15"/>
        <v>81.66432083728064</v>
      </c>
      <c r="AV22" s="107">
        <f>((AS22/'Assessed Value'!E14)*'Assessed Value'!G14)/12</f>
        <v>10.429365419748764</v>
      </c>
      <c r="AW22" s="157">
        <f>(AS22/'Assessed Value'!E14)*1000</f>
        <v>0.5247437790183623</v>
      </c>
      <c r="AX22" s="24"/>
      <c r="AY22" s="58">
        <f>(((AS22+AN22)/'Assessed Value'!E14)*'Assessed Value'!G14)/12</f>
        <v>14.390806464785769</v>
      </c>
      <c r="AZ22" s="58">
        <f t="shared" si="16"/>
        <v>90.27302972887625</v>
      </c>
      <c r="BA22" s="58">
        <f t="shared" si="17"/>
        <v>59</v>
      </c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T22"/>
      <c r="BU22"/>
      <c r="BV22"/>
      <c r="BW22"/>
    </row>
    <row r="23" spans="1:75" ht="13.5" customHeight="1">
      <c r="A23" s="9" t="s">
        <v>32</v>
      </c>
      <c r="B23" s="9" t="e">
        <f>VLOOKUP(C23,'Input Data'!$C$2:$D$28,2,FALSE)</f>
        <v>#N/A</v>
      </c>
      <c r="C23" s="9" t="s">
        <v>20</v>
      </c>
      <c r="D23" s="10">
        <v>2440000</v>
      </c>
      <c r="E23" s="10">
        <v>510000</v>
      </c>
      <c r="F23" s="10">
        <v>360000</v>
      </c>
      <c r="G23" s="10">
        <v>1570000</v>
      </c>
      <c r="H23" s="10">
        <f t="shared" si="9"/>
        <v>666450</v>
      </c>
      <c r="I23" s="11">
        <v>227670</v>
      </c>
      <c r="J23" s="11">
        <v>1481</v>
      </c>
      <c r="K23" s="12">
        <v>866</v>
      </c>
      <c r="L23" s="12">
        <v>108</v>
      </c>
      <c r="M23" s="12">
        <f t="shared" si="3"/>
        <v>821</v>
      </c>
      <c r="N23" s="23">
        <f t="shared" si="4"/>
        <v>19058.738636363636</v>
      </c>
      <c r="O23" s="23">
        <f t="shared" si="5"/>
        <v>25177</v>
      </c>
      <c r="P23" s="348">
        <f t="shared" si="6"/>
        <v>33774</v>
      </c>
      <c r="Q23" s="348">
        <v>28800</v>
      </c>
      <c r="R23" s="23">
        <f t="shared" si="10"/>
        <v>117490.71250000001</v>
      </c>
      <c r="S23" s="352">
        <f t="shared" si="7"/>
        <v>23.85113936256598</v>
      </c>
      <c r="T23" s="24">
        <f t="shared" si="0"/>
        <v>59</v>
      </c>
      <c r="U23" s="72">
        <f t="shared" si="1"/>
        <v>331.5574909696354</v>
      </c>
      <c r="V23" s="73">
        <f t="shared" si="8"/>
        <v>0.4038459086110054</v>
      </c>
      <c r="W23" s="302">
        <f t="shared" si="2"/>
        <v>25311.292185396134</v>
      </c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N23" s="101">
        <f t="shared" si="11"/>
        <v>23613</v>
      </c>
      <c r="AO23" s="55">
        <f t="shared" si="12"/>
        <v>15.73151232511659</v>
      </c>
      <c r="AP23" s="55">
        <f t="shared" si="13"/>
        <v>74.7315123251166</v>
      </c>
      <c r="AQ23" s="102">
        <f>((AN23/'Assessed Value'!E15)*'Assessed Value'!G15)/12</f>
        <v>7.191122651681984</v>
      </c>
      <c r="AR23" s="84"/>
      <c r="AS23" s="107">
        <f>'Debt Service'!K205</f>
        <v>54755.55555555556</v>
      </c>
      <c r="AT23" s="107">
        <f t="shared" si="14"/>
        <v>36.47938411429418</v>
      </c>
      <c r="AU23" s="107">
        <f t="shared" si="15"/>
        <v>95.47938411429418</v>
      </c>
      <c r="AV23" s="107">
        <f>((AS23/'Assessed Value'!E15)*'Assessed Value'!G15)/12</f>
        <v>16.675302412272348</v>
      </c>
      <c r="AW23" s="157">
        <f>(AS23/'Assessed Value'!E15)*1000</f>
        <v>0.6734024622501895</v>
      </c>
      <c r="AX23" s="24"/>
      <c r="AY23" s="58">
        <f>(((AS23+AN23)/'Assessed Value'!E15)*'Assessed Value'!G15)/12</f>
        <v>23.866425063954335</v>
      </c>
      <c r="AZ23" s="58">
        <f t="shared" si="16"/>
        <v>111.21089643941077</v>
      </c>
      <c r="BA23" s="58">
        <f t="shared" si="17"/>
        <v>59</v>
      </c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T23"/>
      <c r="BU23"/>
      <c r="BV23"/>
      <c r="BW23"/>
    </row>
    <row r="24" spans="1:75" ht="13.5" customHeight="1">
      <c r="A24" s="9" t="s">
        <v>32</v>
      </c>
      <c r="B24" s="9" t="e">
        <f>VLOOKUP(C24,'Input Data'!$C$2:$D$28,2,FALSE)</f>
        <v>#N/A</v>
      </c>
      <c r="C24" s="9" t="s">
        <v>23</v>
      </c>
      <c r="D24" s="10">
        <v>1260000</v>
      </c>
      <c r="E24" s="10">
        <v>270000</v>
      </c>
      <c r="F24" s="10">
        <v>220000</v>
      </c>
      <c r="G24" s="10">
        <v>770000</v>
      </c>
      <c r="H24" s="10">
        <f t="shared" si="9"/>
        <v>252900</v>
      </c>
      <c r="I24" s="11">
        <v>126929</v>
      </c>
      <c r="J24" s="11">
        <v>562</v>
      </c>
      <c r="K24" s="12">
        <v>261</v>
      </c>
      <c r="L24" s="12">
        <v>26</v>
      </c>
      <c r="M24" s="12">
        <f t="shared" si="3"/>
        <v>250.16666666666666</v>
      </c>
      <c r="N24" s="23">
        <f t="shared" si="4"/>
        <v>10625.495833333332</v>
      </c>
      <c r="O24" s="23">
        <f t="shared" si="5"/>
        <v>9554</v>
      </c>
      <c r="P24" s="348">
        <f t="shared" si="6"/>
        <v>10179</v>
      </c>
      <c r="Q24" s="348">
        <v>28800</v>
      </c>
      <c r="R24" s="23">
        <f t="shared" si="10"/>
        <v>65074.34541666667</v>
      </c>
      <c r="S24" s="352">
        <f t="shared" si="7"/>
        <v>43.353994281590055</v>
      </c>
      <c r="T24" s="24">
        <f t="shared" si="0"/>
        <v>59</v>
      </c>
      <c r="U24" s="72">
        <f t="shared" si="1"/>
        <v>183.63908290062838</v>
      </c>
      <c r="V24" s="73">
        <f t="shared" si="8"/>
        <v>0.7340669536334246</v>
      </c>
      <c r="W24" s="302">
        <f t="shared" si="2"/>
        <v>7712.596339886236</v>
      </c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N24" s="101">
        <f>0.03*(D26-F26-H26)</f>
        <v>35415</v>
      </c>
      <c r="AO24" s="55">
        <f>(AN24/(M26*$P$8))/12</f>
        <v>13.185033507073713</v>
      </c>
      <c r="AP24" s="55">
        <f>T26+AO24</f>
        <v>72.18503350707371</v>
      </c>
      <c r="AQ24" s="102">
        <f>((AN24/'Assessed Value'!E16)*'Assessed Value'!G16)/12</f>
        <v>5.552746803370451</v>
      </c>
      <c r="AR24" s="84"/>
      <c r="AS24" s="107">
        <f>'Debt Service'!K221</f>
        <v>93866.66666666667</v>
      </c>
      <c r="AT24" s="107">
        <f>AS24/(12*$P$8*M26)</f>
        <v>34.94663688260114</v>
      </c>
      <c r="AU24" s="107">
        <f>T26+AT24</f>
        <v>93.94663688260114</v>
      </c>
      <c r="AV24" s="107">
        <f>((AS24/'Assessed Value'!E16)*'Assessed Value'!G16)/12</f>
        <v>14.717431406928506</v>
      </c>
      <c r="AW24" s="157">
        <f>(AS24/'Assessed Value'!E16)*1000</f>
        <v>0.8985604455389439</v>
      </c>
      <c r="AX24" s="24"/>
      <c r="AY24" s="58">
        <f>(((AS24+AN24)/'Assessed Value'!E16)*'Assessed Value'!G16)/12</f>
        <v>20.270178210298955</v>
      </c>
      <c r="AZ24" s="58">
        <f>T26+AO24+AT24</f>
        <v>107.13167038967485</v>
      </c>
      <c r="BA24" s="58">
        <f>T26</f>
        <v>59</v>
      </c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T24"/>
      <c r="BU24"/>
      <c r="BV24"/>
      <c r="BW24"/>
    </row>
    <row r="25" spans="1:75" ht="13.5" customHeight="1">
      <c r="A25" s="9" t="s">
        <v>33</v>
      </c>
      <c r="B25" s="9" t="e">
        <f>VLOOKUP(C25,'Input Data'!$C$2:$D$28,2,FALSE)</f>
        <v>#N/A</v>
      </c>
      <c r="C25" s="363" t="s">
        <v>24</v>
      </c>
      <c r="D25" s="364">
        <v>1900000</v>
      </c>
      <c r="E25" s="364">
        <v>410000</v>
      </c>
      <c r="F25" s="364">
        <v>320000</v>
      </c>
      <c r="G25" s="364">
        <v>1170000</v>
      </c>
      <c r="H25" s="364">
        <f>J25*450</f>
        <v>517500</v>
      </c>
      <c r="I25" s="365">
        <v>209038</v>
      </c>
      <c r="J25" s="365">
        <v>1150</v>
      </c>
      <c r="K25" s="366">
        <v>436</v>
      </c>
      <c r="L25" s="366">
        <v>17</v>
      </c>
      <c r="M25" s="366">
        <f>(K25-L25)+(L25*7/12)</f>
        <v>428.9166666666667</v>
      </c>
      <c r="N25" s="348">
        <f>442*I25/5280</f>
        <v>17499.014393939393</v>
      </c>
      <c r="O25" s="348">
        <f>J25*17</f>
        <v>19550</v>
      </c>
      <c r="P25" s="348">
        <f>39*K25</f>
        <v>17004</v>
      </c>
      <c r="Q25" s="348">
        <v>28800</v>
      </c>
      <c r="R25" s="348">
        <f>(N25+O25+P25+Q25)*1.1</f>
        <v>91138.31583333334</v>
      </c>
      <c r="S25" s="352">
        <f>R25/12/($P$8*M25)</f>
        <v>35.414150314098826</v>
      </c>
      <c r="T25" s="65">
        <f t="shared" si="0"/>
        <v>59</v>
      </c>
      <c r="U25" s="72">
        <f t="shared" si="1"/>
        <v>257.19131909169585</v>
      </c>
      <c r="V25" s="73">
        <f>U25/M25</f>
        <v>0.5996300425685545</v>
      </c>
      <c r="W25" s="302">
        <f t="shared" si="2"/>
        <v>13223.428834575103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N25" s="101">
        <f>0.03*(D25-F25-H25)</f>
        <v>31875</v>
      </c>
      <c r="AO25" s="55">
        <f>(AN25/(M25*$P$8))/12</f>
        <v>12.38585583835244</v>
      </c>
      <c r="AP25" s="55">
        <f>T25+AO25</f>
        <v>71.38585583835244</v>
      </c>
      <c r="AQ25" s="102">
        <f>((AN25/'Assessed Value'!E23)*'Assessed Value'!G23)/12</f>
        <v>4.9375880229937215</v>
      </c>
      <c r="AR25" s="84"/>
      <c r="AS25" s="107">
        <f>'Debt Service'!K213</f>
        <v>83200</v>
      </c>
      <c r="AT25" s="107">
        <f>AS25/(12*$P$8*M25)</f>
        <v>32.32951233728385</v>
      </c>
      <c r="AU25" s="107">
        <f>T25+AT25</f>
        <v>91.32951233728386</v>
      </c>
      <c r="AV25" s="107">
        <f>((AS25/'Assessed Value'!E23)*'Assessed Value'!G23)/12</f>
        <v>12.888072894527925</v>
      </c>
      <c r="AW25" s="157">
        <f>(AS25/'Assessed Value'!E23)*1000</f>
        <v>0.8965879741172293</v>
      </c>
      <c r="AX25" s="24"/>
      <c r="AY25" s="58">
        <f>(((AS25+AN25)/'Assessed Value'!E23)*'Assessed Value'!G23)/12</f>
        <v>17.82566091752165</v>
      </c>
      <c r="AZ25" s="58">
        <f>T25+AO25+AT25</f>
        <v>103.71536817563629</v>
      </c>
      <c r="BA25" s="58">
        <f>T25</f>
        <v>59</v>
      </c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T25"/>
      <c r="BU25"/>
      <c r="BV25"/>
      <c r="BW25"/>
    </row>
    <row r="26" spans="1:53" s="2" customFormat="1" ht="14.25" customHeight="1">
      <c r="A26" s="9" t="s">
        <v>32</v>
      </c>
      <c r="B26" s="9" t="e">
        <f>VLOOKUP(C26,'Input Data'!$C$2:$D$28,2,FALSE)</f>
        <v>#N/A</v>
      </c>
      <c r="C26" s="9" t="s">
        <v>25</v>
      </c>
      <c r="D26" s="10">
        <v>2150000</v>
      </c>
      <c r="E26" s="10">
        <v>450000</v>
      </c>
      <c r="F26" s="10">
        <v>380000</v>
      </c>
      <c r="G26" s="10">
        <v>1320000</v>
      </c>
      <c r="H26" s="10">
        <f t="shared" si="9"/>
        <v>589500</v>
      </c>
      <c r="I26" s="11">
        <v>280652</v>
      </c>
      <c r="J26" s="11">
        <v>1310</v>
      </c>
      <c r="K26" s="12">
        <v>491</v>
      </c>
      <c r="L26" s="12">
        <v>104</v>
      </c>
      <c r="M26" s="12">
        <f t="shared" si="3"/>
        <v>447.6666666666667</v>
      </c>
      <c r="N26" s="189">
        <f t="shared" si="4"/>
        <v>23493.974242424243</v>
      </c>
      <c r="O26" s="189">
        <f t="shared" si="5"/>
        <v>22270</v>
      </c>
      <c r="P26" s="349">
        <f t="shared" si="6"/>
        <v>19149</v>
      </c>
      <c r="Q26" s="349">
        <v>28800</v>
      </c>
      <c r="R26" s="189">
        <f t="shared" si="10"/>
        <v>103084.27166666668</v>
      </c>
      <c r="S26" s="353">
        <f t="shared" si="7"/>
        <v>38.3783587738893</v>
      </c>
      <c r="T26" s="190">
        <f t="shared" si="0"/>
        <v>59</v>
      </c>
      <c r="U26" s="191">
        <f t="shared" si="1"/>
        <v>290.9026743048501</v>
      </c>
      <c r="V26" s="192">
        <f t="shared" si="8"/>
        <v>0.6498198234657858</v>
      </c>
      <c r="W26" s="193">
        <f>(M26/$M$27)*$W$28</f>
        <v>13801.488187164843</v>
      </c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93"/>
      <c r="AN26" s="103">
        <f t="shared" si="11"/>
        <v>651231</v>
      </c>
      <c r="AO26" s="104">
        <f t="shared" si="12"/>
        <v>12.990714235844445</v>
      </c>
      <c r="AP26" s="104">
        <f t="shared" si="13"/>
        <v>71.99071423584445</v>
      </c>
      <c r="AQ26" s="118">
        <f>((AN26/'Assessed Value'!E17)*'Assessed Value'!G17)/12</f>
        <v>5.427806879537595</v>
      </c>
      <c r="AR26" s="119"/>
      <c r="AS26" s="108">
        <f>SUM(AS12:AS24)</f>
        <v>1351822.2222222222</v>
      </c>
      <c r="AT26" s="108">
        <f t="shared" si="14"/>
        <v>26.966063019962345</v>
      </c>
      <c r="AU26" s="108">
        <f t="shared" si="15"/>
        <v>85.96606301996235</v>
      </c>
      <c r="AV26" s="108">
        <f>((AS26/'Assessed Value'!E17)*'Assessed Value'!G17)/12</f>
        <v>11.267015786548209</v>
      </c>
      <c r="AW26" s="158">
        <f>(AS26/'Assessed Value'!E17)*1000</f>
        <v>0.6123093750771207</v>
      </c>
      <c r="AX26" s="6"/>
      <c r="AY26" s="114">
        <f>(((AS26+AN26)/'Assessed Value'!E17)*'Assessed Value'!G17)/12</f>
        <v>16.694822666085805</v>
      </c>
      <c r="AZ26" s="114">
        <f t="shared" si="16"/>
        <v>98.9567772558068</v>
      </c>
      <c r="BA26" s="114">
        <f t="shared" si="17"/>
        <v>59</v>
      </c>
    </row>
    <row r="27" spans="1:75" ht="13.5" customHeight="1">
      <c r="A27" s="13"/>
      <c r="B27" s="13"/>
      <c r="C27" s="393" t="s">
        <v>185</v>
      </c>
      <c r="D27" s="271">
        <f aca="true" t="shared" si="18" ref="D27:L27">SUM(D11:D26)</f>
        <v>37730000</v>
      </c>
      <c r="E27" s="271">
        <f t="shared" si="18"/>
        <v>7750000</v>
      </c>
      <c r="F27" s="271">
        <f t="shared" si="18"/>
        <v>6170000</v>
      </c>
      <c r="G27" s="271">
        <f t="shared" si="18"/>
        <v>23810000</v>
      </c>
      <c r="H27" s="271">
        <f t="shared" si="18"/>
        <v>9852300</v>
      </c>
      <c r="I27" s="272">
        <f t="shared" si="18"/>
        <v>3994060</v>
      </c>
      <c r="J27" s="272">
        <f t="shared" si="18"/>
        <v>21894</v>
      </c>
      <c r="K27" s="272">
        <f t="shared" si="18"/>
        <v>9123</v>
      </c>
      <c r="L27" s="272">
        <f t="shared" si="18"/>
        <v>1843</v>
      </c>
      <c r="M27" s="273">
        <f t="shared" si="3"/>
        <v>8355.083333333334</v>
      </c>
      <c r="N27" s="329">
        <f>SUM(N11:N26)</f>
        <v>334351.23484848486</v>
      </c>
      <c r="O27" s="329">
        <f>SUM(O11:O26)</f>
        <v>372198</v>
      </c>
      <c r="P27" s="329">
        <f>SUM(P11:P26)</f>
        <v>355797</v>
      </c>
      <c r="Q27" s="329">
        <f>SUM(Q11:Q26)</f>
        <v>460800</v>
      </c>
      <c r="R27" s="329">
        <f>SUM(R11:R26)</f>
        <v>1675460.8583333334</v>
      </c>
      <c r="S27" s="354">
        <f>R28/12/($P$8*M27)</f>
        <v>24.391694643646748</v>
      </c>
      <c r="T27" s="311">
        <f t="shared" si="0"/>
        <v>59</v>
      </c>
      <c r="U27" s="330">
        <f>R28/((T27-(1-$S$6)*$O$66-$S$6*$P$66)*12)</f>
        <v>3450.637341498288</v>
      </c>
      <c r="W27" s="329">
        <f>SUM(W11:W26)</f>
        <v>257585.81666666683</v>
      </c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N27" s="101">
        <f>0.03*(D11-F11-H11)</f>
        <v>68569.5</v>
      </c>
      <c r="AO27" s="55">
        <f>(AN27/(M11*$P$8))/12</f>
        <v>13.572743467933492</v>
      </c>
      <c r="AP27" s="55">
        <f>T11+AO27</f>
        <v>72.57274346793349</v>
      </c>
      <c r="AQ27" s="102">
        <f>((AN27/'Assessed Value'!E18)*'Assessed Value'!G18)/12</f>
        <v>5.837082887580053</v>
      </c>
      <c r="AR27" s="84"/>
      <c r="AS27" s="107">
        <f>'Debt Service'!K13</f>
        <v>163555.55555555556</v>
      </c>
      <c r="AT27" s="107">
        <f>AS27/(12*$P$8*M11)</f>
        <v>32.374417172516935</v>
      </c>
      <c r="AU27" s="107">
        <f>T11+AT27</f>
        <v>91.37441717251693</v>
      </c>
      <c r="AV27" s="107">
        <f>((AS27/'Assessed Value'!E18)*'Assessed Value'!G18)/12</f>
        <v>13.92291521014419</v>
      </c>
      <c r="AW27" s="157">
        <f>(AS27/'Assessed Value'!E18)*1000</f>
        <v>0.680398428932294</v>
      </c>
      <c r="AX27" s="24"/>
      <c r="AY27" s="58">
        <f>(((AS27+AN27)/'Assessed Value'!E18)*'Assessed Value'!G18)/12</f>
        <v>19.759998097724242</v>
      </c>
      <c r="AZ27" s="58">
        <f>T11+AO27+AT27</f>
        <v>104.94716064045042</v>
      </c>
      <c r="BA27" s="58">
        <f>T11</f>
        <v>59</v>
      </c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T27"/>
      <c r="BU27"/>
      <c r="BV27"/>
      <c r="BW27"/>
    </row>
    <row r="28" spans="1:75" ht="13.5" customHeight="1">
      <c r="A28" s="13"/>
      <c r="B28" s="13"/>
      <c r="C28" s="270" t="s">
        <v>177</v>
      </c>
      <c r="D28" s="271"/>
      <c r="E28" s="271"/>
      <c r="F28" s="271"/>
      <c r="G28" s="271"/>
      <c r="H28" s="271"/>
      <c r="I28" s="272"/>
      <c r="J28" s="272"/>
      <c r="K28" s="272"/>
      <c r="L28" s="272"/>
      <c r="M28" s="273"/>
      <c r="N28" s="329"/>
      <c r="O28" s="329"/>
      <c r="P28" s="329">
        <f>0.7*SUM(P11:P26)</f>
        <v>249057.9</v>
      </c>
      <c r="Q28" s="329">
        <v>156000</v>
      </c>
      <c r="R28" s="326">
        <f>(N27+O27+P28+Q28)*1.1</f>
        <v>1222767.8483333334</v>
      </c>
      <c r="S28" s="354"/>
      <c r="T28" s="311"/>
      <c r="U28" s="330"/>
      <c r="V28" s="331">
        <f>U27/M27</f>
        <v>0.4129985547518921</v>
      </c>
      <c r="W28" s="325">
        <f>IF(M27*$P$8&lt;=$N$66,M27*$P$8*($S$7*$T$7+S$8*$T$8+$S$6*$T$6-(1-$S$6)*$O$66-$S$6*$P$66)*12-R28,IF(M27*$P$8&lt;=$N$67,M27*$P$8*($S$7*$T$7+S$8*$T$8+$S$6*$T$6-(1-$S$6)*$O$67-$S$6*$P$67)*12-R28,IF(M27*$P$8&lt;=$N$68,M27*$P$8*($S$7*$T$7+S$8*$T$8+$S$6*$T$6-(1-$S$6)*$O$68-$S$6*$P$68)*12-R28,IF(M27*$P$8&lt;=$N$69,M27*$P$8*($S$7*$T$7+S$8*$T$8+$S$6*$T$6-(1-$S$6)*$O$69-$S$6*$P$69)*12-R28))))</f>
        <v>257585.81666666688</v>
      </c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N28" s="101"/>
      <c r="AO28" s="55"/>
      <c r="AP28" s="55"/>
      <c r="AQ28" s="102"/>
      <c r="AR28" s="84"/>
      <c r="AS28" s="107"/>
      <c r="AT28" s="107"/>
      <c r="AU28" s="107"/>
      <c r="AV28" s="107"/>
      <c r="AW28" s="157"/>
      <c r="AX28" s="24"/>
      <c r="AY28" s="58"/>
      <c r="AZ28" s="58"/>
      <c r="BA28" s="5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T28"/>
      <c r="BU28"/>
      <c r="BV28"/>
      <c r="BW28"/>
    </row>
    <row r="29" spans="1:75" ht="13.5" customHeight="1">
      <c r="A29" s="13"/>
      <c r="B29" s="13"/>
      <c r="C29" s="270"/>
      <c r="D29" s="271"/>
      <c r="E29" s="271"/>
      <c r="F29" s="271"/>
      <c r="G29" s="271"/>
      <c r="H29" s="271"/>
      <c r="I29" s="272"/>
      <c r="J29" s="272"/>
      <c r="K29" s="272"/>
      <c r="L29" s="272"/>
      <c r="M29" s="273"/>
      <c r="N29" s="329"/>
      <c r="O29" s="329"/>
      <c r="P29" s="329"/>
      <c r="Q29" s="329"/>
      <c r="R29" s="326"/>
      <c r="S29" s="354"/>
      <c r="T29" s="311"/>
      <c r="U29" s="330"/>
      <c r="V29" s="331"/>
      <c r="W29" s="325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N29" s="101"/>
      <c r="AO29" s="55"/>
      <c r="AP29" s="55"/>
      <c r="AQ29" s="102"/>
      <c r="AR29" s="84"/>
      <c r="AS29" s="107"/>
      <c r="AT29" s="107"/>
      <c r="AU29" s="107"/>
      <c r="AV29" s="107"/>
      <c r="AW29" s="157"/>
      <c r="AX29" s="24"/>
      <c r="AY29" s="58"/>
      <c r="AZ29" s="58"/>
      <c r="BA29" s="58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T29"/>
      <c r="BU29"/>
      <c r="BV29"/>
      <c r="BW29"/>
    </row>
    <row r="30" spans="1:75" ht="13.5" customHeight="1">
      <c r="A30" s="9" t="s">
        <v>33</v>
      </c>
      <c r="B30" s="9">
        <f>VLOOKUP(C30,'Input Data'!$C$2:$D$28,2,FALSE)</f>
        <v>14</v>
      </c>
      <c r="C30" s="363" t="s">
        <v>11</v>
      </c>
      <c r="D30" s="364">
        <v>1750000</v>
      </c>
      <c r="E30" s="364">
        <v>370000</v>
      </c>
      <c r="F30" s="364">
        <v>310000</v>
      </c>
      <c r="G30" s="364">
        <v>1070000</v>
      </c>
      <c r="H30" s="364">
        <f>J30*450</f>
        <v>367650</v>
      </c>
      <c r="I30" s="365">
        <v>179481</v>
      </c>
      <c r="J30" s="365">
        <v>817</v>
      </c>
      <c r="K30" s="366">
        <v>325</v>
      </c>
      <c r="L30" s="366">
        <v>25</v>
      </c>
      <c r="M30" s="366">
        <f>(K30-L30)+(L30*7/12)</f>
        <v>314.5833333333333</v>
      </c>
      <c r="N30" s="348">
        <f>442*I30/5280</f>
        <v>15024.735227272728</v>
      </c>
      <c r="O30" s="348">
        <f>J30*17</f>
        <v>13889</v>
      </c>
      <c r="P30" s="348">
        <f>39*K30</f>
        <v>12675</v>
      </c>
      <c r="Q30" s="348">
        <v>28800</v>
      </c>
      <c r="R30" s="348">
        <f>(N30+O30+P30+Q30)*1.1</f>
        <v>77427.60875000001</v>
      </c>
      <c r="S30" s="352">
        <f t="shared" si="7"/>
        <v>41.021249668874184</v>
      </c>
      <c r="T30" s="65">
        <f t="shared" si="0"/>
        <v>59</v>
      </c>
      <c r="U30" s="72">
        <f>R30/((T30-(1-$S$6)*$O$66-$S$6*$P$66)*12)</f>
        <v>218.49985537306696</v>
      </c>
      <c r="V30" s="73">
        <f>U30/M30</f>
        <v>0.694569076682597</v>
      </c>
      <c r="W30" s="69">
        <f>(M30/$M$32)*$W$33</f>
        <v>-7300.608981388413</v>
      </c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N30" s="101">
        <f aca="true" t="shared" si="19" ref="AN30:AN58">0.03*(D30-F30-H30)</f>
        <v>32170.5</v>
      </c>
      <c r="AO30" s="55">
        <f aca="true" t="shared" si="20" ref="AO30:AO58">(AN30/(M30*$P$8))/12</f>
        <v>17.043973509933775</v>
      </c>
      <c r="AP30" s="55">
        <f aca="true" t="shared" si="21" ref="AP30:AP58">T30+AO30</f>
        <v>76.04397350993378</v>
      </c>
      <c r="AQ30" s="102">
        <f>((AN30/'Assessed Value'!E20)*'Assessed Value'!G20)/12</f>
        <v>7.831888241922845</v>
      </c>
      <c r="AR30" s="84"/>
      <c r="AS30" s="107">
        <f>'Debt Service'!K93</f>
        <v>76088.88888888889</v>
      </c>
      <c r="AT30" s="107">
        <f aca="true" t="shared" si="22" ref="AT30:AT58">AS30/(12*$P$8*M30)</f>
        <v>40.31199411331862</v>
      </c>
      <c r="AU30" s="107">
        <f aca="true" t="shared" si="23" ref="AU30:AU58">T30+AT30</f>
        <v>99.31199411331862</v>
      </c>
      <c r="AV30" s="107">
        <f>((AS30/'Assessed Value'!E20)*'Assessed Value'!G20)/12</f>
        <v>18.523792736508998</v>
      </c>
      <c r="AW30" s="157">
        <f>(AS30/'Assessed Value'!E20)*1000</f>
        <v>0.8821244985432025</v>
      </c>
      <c r="AX30" s="24"/>
      <c r="AY30" s="58">
        <f>(((AS30+AN30)/'Assessed Value'!E20)*'Assessed Value'!G20)/12</f>
        <v>26.355680978431845</v>
      </c>
      <c r="AZ30" s="58">
        <f aca="true" t="shared" si="24" ref="AZ30:AZ58">T30+AO30+AT30</f>
        <v>116.3559676232524</v>
      </c>
      <c r="BA30" s="58">
        <f>T30</f>
        <v>59</v>
      </c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T30"/>
      <c r="BU30"/>
      <c r="BV30"/>
      <c r="BW30"/>
    </row>
    <row r="31" spans="1:75" ht="13.5" customHeight="1">
      <c r="A31" s="9" t="s">
        <v>33</v>
      </c>
      <c r="B31" s="9" t="e">
        <f>VLOOKUP(C31,'Input Data'!$C$2:$D$28,2,FALSE)</f>
        <v>#N/A</v>
      </c>
      <c r="C31" s="9" t="s">
        <v>26</v>
      </c>
      <c r="D31" s="10">
        <v>2860000</v>
      </c>
      <c r="E31" s="183">
        <v>590000</v>
      </c>
      <c r="F31" s="183">
        <v>480000</v>
      </c>
      <c r="G31" s="183">
        <v>1790000</v>
      </c>
      <c r="H31" s="183">
        <f>J31*450</f>
        <v>730350</v>
      </c>
      <c r="I31" s="184">
        <v>310291</v>
      </c>
      <c r="J31" s="184">
        <v>1623</v>
      </c>
      <c r="K31" s="185">
        <v>629</v>
      </c>
      <c r="L31" s="185">
        <v>76</v>
      </c>
      <c r="M31" s="185">
        <f>(K31-L31)+(L31*7/12)</f>
        <v>597.3333333333334</v>
      </c>
      <c r="N31" s="189">
        <f>442*I31/5280</f>
        <v>25975.1178030303</v>
      </c>
      <c r="O31" s="189">
        <f>J31*17</f>
        <v>27591</v>
      </c>
      <c r="P31" s="349">
        <f>39*K31</f>
        <v>24531</v>
      </c>
      <c r="Q31" s="349">
        <v>28800</v>
      </c>
      <c r="R31" s="189">
        <f>(N31+O31+P31+Q31)*1.1</f>
        <v>117586.82958333334</v>
      </c>
      <c r="S31" s="353">
        <f t="shared" si="7"/>
        <v>32.80882521856399</v>
      </c>
      <c r="T31" s="190">
        <f t="shared" si="0"/>
        <v>59</v>
      </c>
      <c r="U31" s="191">
        <f>R31/((T31-(1-$S$6)*$O$66-$S$6*$P$66)*12)</f>
        <v>331.828732315536</v>
      </c>
      <c r="V31" s="192">
        <f>U31/M31</f>
        <v>0.5555168509746696</v>
      </c>
      <c r="W31" s="403">
        <f>(M31/$M$32)*$W$33</f>
        <v>-13862.45435194494</v>
      </c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N31" s="101">
        <f t="shared" si="19"/>
        <v>49489.5</v>
      </c>
      <c r="AO31" s="55">
        <f t="shared" si="20"/>
        <v>13.808454241071429</v>
      </c>
      <c r="AP31" s="55">
        <f t="shared" si="21"/>
        <v>72.80845424107143</v>
      </c>
      <c r="AQ31" s="102">
        <f>((AN31/'Assessed Value'!E24)*'Assessed Value'!G24)/12</f>
        <v>6.133455031410668</v>
      </c>
      <c r="AR31" s="84"/>
      <c r="AS31" s="107">
        <f>'Debt Service'!K229</f>
        <v>127288.88888888888</v>
      </c>
      <c r="AT31" s="107">
        <f t="shared" si="22"/>
        <v>35.51587301587301</v>
      </c>
      <c r="AU31" s="107">
        <f t="shared" si="23"/>
        <v>94.51587301587301</v>
      </c>
      <c r="AV31" s="107">
        <f>((AS31/'Assessed Value'!E24)*'Assessed Value'!G24)/12</f>
        <v>15.775481182841391</v>
      </c>
      <c r="AW31" s="157">
        <f>(AS31/'Assessed Value'!E24)*1000</f>
        <v>0.7616541804147955</v>
      </c>
      <c r="AX31" s="24"/>
      <c r="AY31" s="58">
        <f>(((AS31+AN31)/'Assessed Value'!E24)*'Assessed Value'!G24)/12</f>
        <v>21.908936214252062</v>
      </c>
      <c r="AZ31" s="58">
        <f t="shared" si="24"/>
        <v>108.32432725694444</v>
      </c>
      <c r="BA31" s="58">
        <f>T31</f>
        <v>59</v>
      </c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T31"/>
      <c r="BU31"/>
      <c r="BV31"/>
      <c r="BW31"/>
    </row>
    <row r="32" spans="1:53" s="279" customFormat="1" ht="15">
      <c r="A32" s="310"/>
      <c r="B32" s="310"/>
      <c r="C32" s="394" t="s">
        <v>185</v>
      </c>
      <c r="D32" s="271">
        <f>SUM(D11:D31)</f>
        <v>80070000</v>
      </c>
      <c r="E32" s="329">
        <f aca="true" t="shared" si="25" ref="E32:O32">SUM(E30:E31)</f>
        <v>960000</v>
      </c>
      <c r="F32" s="329">
        <f t="shared" si="25"/>
        <v>790000</v>
      </c>
      <c r="G32" s="329">
        <f t="shared" si="25"/>
        <v>2860000</v>
      </c>
      <c r="H32" s="329">
        <f t="shared" si="25"/>
        <v>1098000</v>
      </c>
      <c r="I32" s="329">
        <f t="shared" si="25"/>
        <v>489772</v>
      </c>
      <c r="J32" s="329">
        <f t="shared" si="25"/>
        <v>2440</v>
      </c>
      <c r="K32" s="329">
        <f t="shared" si="25"/>
        <v>954</v>
      </c>
      <c r="L32" s="329">
        <f t="shared" si="25"/>
        <v>101</v>
      </c>
      <c r="M32" s="329">
        <f t="shared" si="25"/>
        <v>911.9166666666667</v>
      </c>
      <c r="N32" s="329">
        <f t="shared" si="25"/>
        <v>40999.85303030303</v>
      </c>
      <c r="O32" s="329">
        <f t="shared" si="25"/>
        <v>41480</v>
      </c>
      <c r="P32" s="329">
        <f>SUM(P30:P31)</f>
        <v>37206</v>
      </c>
      <c r="Q32" s="329">
        <f>SUM(Q30:Q31)</f>
        <v>57600</v>
      </c>
      <c r="R32" s="329">
        <f>SUM(R30:R31)</f>
        <v>195014.43833333335</v>
      </c>
      <c r="S32" s="354">
        <f>R33/12/($P$8*M32)</f>
        <v>33.397872308020354</v>
      </c>
      <c r="T32" s="311">
        <f t="shared" si="0"/>
        <v>59</v>
      </c>
      <c r="U32" s="330">
        <f>R33/((T32-(1-$S$6)*$O$66-$S$6*$P$66)*12)</f>
        <v>515.6802639500321</v>
      </c>
      <c r="W32" s="275">
        <f>SUM(W30:W31)</f>
        <v>-21163.063333333354</v>
      </c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311"/>
      <c r="AN32" s="312">
        <f t="shared" si="19"/>
        <v>2345460</v>
      </c>
      <c r="AO32" s="313">
        <f t="shared" si="20"/>
        <v>428.6685552407932</v>
      </c>
      <c r="AP32" s="313">
        <f t="shared" si="21"/>
        <v>487.6685552407932</v>
      </c>
      <c r="AQ32" s="314">
        <f>((AN32/'Assessed Value'!E25)*'Assessed Value'!G25)/12</f>
        <v>41.355335260165155</v>
      </c>
      <c r="AR32" s="315"/>
      <c r="AS32" s="316">
        <f>SUM(AS27:AS31)</f>
        <v>366933.3333333333</v>
      </c>
      <c r="AT32" s="316">
        <f t="shared" si="22"/>
        <v>67.06265801577872</v>
      </c>
      <c r="AU32" s="316">
        <f t="shared" si="23"/>
        <v>126.06265801577872</v>
      </c>
      <c r="AV32" s="316">
        <f>((AS32/'Assessed Value'!E25)*'Assessed Value'!G25)/12</f>
        <v>6.469797403549808</v>
      </c>
      <c r="AW32" s="317">
        <f>(AS32/'Assessed Value'!E25)*1000</f>
        <v>0.2558230489818312</v>
      </c>
      <c r="AX32" s="275"/>
      <c r="AY32" s="318">
        <f>(((AS32+AN32)/'Assessed Value'!E25)*'Assessed Value'!G25)/12</f>
        <v>47.82513266371496</v>
      </c>
      <c r="AZ32" s="318">
        <f t="shared" si="24"/>
        <v>554.7312132565719</v>
      </c>
      <c r="BA32" s="318">
        <f>T32</f>
        <v>59</v>
      </c>
    </row>
    <row r="33" spans="1:53" s="279" customFormat="1" ht="15">
      <c r="A33" s="310"/>
      <c r="B33" s="310"/>
      <c r="C33" s="270" t="s">
        <v>177</v>
      </c>
      <c r="D33" s="271"/>
      <c r="E33" s="271"/>
      <c r="F33" s="271"/>
      <c r="G33" s="271"/>
      <c r="H33" s="271"/>
      <c r="I33" s="272"/>
      <c r="J33" s="272"/>
      <c r="K33" s="272"/>
      <c r="L33" s="272"/>
      <c r="M33" s="273"/>
      <c r="N33" s="329"/>
      <c r="O33" s="329"/>
      <c r="P33" s="329">
        <f>0.7*SUM(P30:P31)</f>
        <v>26044.199999999997</v>
      </c>
      <c r="Q33" s="329">
        <f>SUM(Q30:Q31)</f>
        <v>57600</v>
      </c>
      <c r="R33" s="326">
        <f>(N32+O32+P33+Q33)*1.1</f>
        <v>182736.45833333337</v>
      </c>
      <c r="S33" s="354"/>
      <c r="T33" s="311"/>
      <c r="U33" s="330"/>
      <c r="V33" s="331">
        <f>U32/M32</f>
        <v>0.5654905571964164</v>
      </c>
      <c r="W33" s="325">
        <f>IF(M32*$P$8&lt;=$N$66,M32*$P$8*($S$7*$T$7+S$8*$T$8+$S$6*$T$6-(1-$S$6)*$O$66-$S$6*$P$66)*12-R33,IF(M32*$P$8&lt;=$N$67,M32*$P$8*($S$7*$T$7+S$8*$T$8+$S$6*$T$6-(1-$S$6)*$O$67-$S$6*$P$67)*12-R33,IF(M32*$P$8&lt;=$N$68,M32*$P$8*($S$7*$T$7+S$8*$T$8+$S$6*$T$6-(1-$S$6)*$O$68-$S$6*$P$68)*12-R33,IF(M32*$P$8&lt;=$N$69,M32*$P$8*($S$7*$T$7+S$8*$T$8+$S$6*$T$6-(1-$S$6)*$O$69-$S$6*$P$69)*12-R33))))</f>
        <v>-21163.063333333354</v>
      </c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311"/>
      <c r="AN33" s="312"/>
      <c r="AO33" s="313"/>
      <c r="AP33" s="313"/>
      <c r="AQ33" s="314"/>
      <c r="AR33" s="315"/>
      <c r="AS33" s="316"/>
      <c r="AT33" s="316"/>
      <c r="AU33" s="316"/>
      <c r="AV33" s="316"/>
      <c r="AW33" s="317"/>
      <c r="AX33" s="275"/>
      <c r="AY33" s="318"/>
      <c r="AZ33" s="318"/>
      <c r="BA33" s="318"/>
    </row>
    <row r="34" spans="1:53" s="279" customFormat="1" ht="15">
      <c r="A34" s="310"/>
      <c r="B34" s="310"/>
      <c r="C34" s="270"/>
      <c r="D34" s="271"/>
      <c r="E34" s="271"/>
      <c r="F34" s="271"/>
      <c r="G34" s="271"/>
      <c r="H34" s="271"/>
      <c r="I34" s="272"/>
      <c r="J34" s="272"/>
      <c r="K34" s="272"/>
      <c r="L34" s="272"/>
      <c r="M34" s="273"/>
      <c r="N34" s="329"/>
      <c r="O34" s="329"/>
      <c r="P34" s="329"/>
      <c r="Q34" s="329"/>
      <c r="R34" s="326"/>
      <c r="S34" s="354"/>
      <c r="T34" s="311"/>
      <c r="U34" s="330"/>
      <c r="V34" s="331"/>
      <c r="W34" s="325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311"/>
      <c r="AN34" s="312"/>
      <c r="AO34" s="313"/>
      <c r="AP34" s="313"/>
      <c r="AQ34" s="314"/>
      <c r="AR34" s="315"/>
      <c r="AS34" s="316"/>
      <c r="AT34" s="316"/>
      <c r="AU34" s="316"/>
      <c r="AV34" s="316"/>
      <c r="AW34" s="317"/>
      <c r="AX34" s="275"/>
      <c r="AY34" s="318"/>
      <c r="AZ34" s="318"/>
      <c r="BA34" s="318"/>
    </row>
    <row r="35" spans="1:75" ht="13.5" customHeight="1">
      <c r="A35" s="9" t="s">
        <v>34</v>
      </c>
      <c r="B35" s="9">
        <f>VLOOKUP(C35,'Input Data'!$C$2:$D$28,2,FALSE)</f>
        <v>7</v>
      </c>
      <c r="C35" s="9" t="s">
        <v>6</v>
      </c>
      <c r="D35" s="10">
        <v>3550000</v>
      </c>
      <c r="E35" s="10">
        <v>690000</v>
      </c>
      <c r="F35" s="10">
        <v>610000</v>
      </c>
      <c r="G35" s="10">
        <v>2250000</v>
      </c>
      <c r="H35" s="10">
        <f aca="true" t="shared" si="26" ref="H35:H53">J35*450</f>
        <v>810900</v>
      </c>
      <c r="I35" s="11">
        <v>381843</v>
      </c>
      <c r="J35" s="11">
        <v>1802</v>
      </c>
      <c r="K35" s="12">
        <v>797</v>
      </c>
      <c r="L35" s="12">
        <v>66</v>
      </c>
      <c r="M35" s="12">
        <f aca="true" t="shared" si="27" ref="M35:M54">(K35-L35)+(L35*7/12)</f>
        <v>769.5</v>
      </c>
      <c r="N35" s="23">
        <f aca="true" t="shared" si="28" ref="N35:N53">442*I35/5280</f>
        <v>31964.8875</v>
      </c>
      <c r="O35" s="23">
        <f aca="true" t="shared" si="29" ref="O35:O53">J35*17</f>
        <v>30634</v>
      </c>
      <c r="P35" s="348">
        <f>39*K35</f>
        <v>31083</v>
      </c>
      <c r="Q35" s="348">
        <v>28800</v>
      </c>
      <c r="R35" s="23">
        <f aca="true" t="shared" si="30" ref="R35:R53">(N35+O35+P35+Q35)*1.1</f>
        <v>134730.07625</v>
      </c>
      <c r="S35" s="352">
        <f t="shared" si="7"/>
        <v>29.18130306476067</v>
      </c>
      <c r="T35" s="24">
        <f t="shared" si="0"/>
        <v>59</v>
      </c>
      <c r="U35" s="72">
        <f aca="true" t="shared" si="31" ref="U35:U53">R35/((T35-(1-$S$6)*$O$66-$S$6*$P$66)*12)</f>
        <v>380.20678476690375</v>
      </c>
      <c r="V35" s="73">
        <f aca="true" t="shared" si="32" ref="V35:V53">U35/M35</f>
        <v>0.49409588663665205</v>
      </c>
      <c r="W35" s="69">
        <f aca="true" t="shared" si="33" ref="W35:W53">(M35/$M$54)*$W$55</f>
        <v>39785.99350120809</v>
      </c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N35" s="101">
        <f t="shared" si="19"/>
        <v>63873</v>
      </c>
      <c r="AO35" s="55">
        <f t="shared" si="20"/>
        <v>13.83430799220273</v>
      </c>
      <c r="AP35" s="55">
        <f t="shared" si="21"/>
        <v>72.83430799220272</v>
      </c>
      <c r="AQ35" s="102">
        <f>((AN35/'Assessed Value'!E26)*'Assessed Value'!G26)/12</f>
        <v>5.557465527565797</v>
      </c>
      <c r="AR35" s="84"/>
      <c r="AS35" s="107">
        <f>'Debt Service'!K53</f>
        <v>160000</v>
      </c>
      <c r="AT35" s="107">
        <f t="shared" si="22"/>
        <v>34.65453757851419</v>
      </c>
      <c r="AU35" s="107">
        <f t="shared" si="23"/>
        <v>93.65453757851418</v>
      </c>
      <c r="AV35" s="107">
        <f>((AS35/'Assessed Value'!E26)*'Assessed Value'!G26)/12</f>
        <v>13.921288876528854</v>
      </c>
      <c r="AW35" s="157">
        <f>(AS35/'Assessed Value'!E26)*1000</f>
        <v>0.9339269723392135</v>
      </c>
      <c r="AX35" s="24"/>
      <c r="AY35" s="58">
        <f>(((AS35+AN35)/'Assessed Value'!E26)*'Assessed Value'!G26)/12</f>
        <v>19.47875440409465</v>
      </c>
      <c r="AZ35" s="58">
        <f t="shared" si="24"/>
        <v>107.4888455707169</v>
      </c>
      <c r="BA35" s="58">
        <f aca="true" t="shared" si="34" ref="BA35:BA53">T35</f>
        <v>59</v>
      </c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T35"/>
      <c r="BU35"/>
      <c r="BV35"/>
      <c r="BW35"/>
    </row>
    <row r="36" spans="1:75" ht="13.5" customHeight="1">
      <c r="A36" s="9" t="s">
        <v>34</v>
      </c>
      <c r="B36" s="9">
        <f>VLOOKUP(C36,'Input Data'!$C$2:$D$28,2,FALSE)</f>
        <v>9</v>
      </c>
      <c r="C36" s="9" t="s">
        <v>8</v>
      </c>
      <c r="D36" s="10">
        <v>2940000</v>
      </c>
      <c r="E36" s="10">
        <v>660000</v>
      </c>
      <c r="F36" s="10">
        <v>410000</v>
      </c>
      <c r="G36" s="10">
        <v>1870000</v>
      </c>
      <c r="H36" s="10">
        <f t="shared" si="26"/>
        <v>826650</v>
      </c>
      <c r="I36" s="11">
        <v>295465</v>
      </c>
      <c r="J36" s="11">
        <v>1837</v>
      </c>
      <c r="K36" s="12">
        <v>921</v>
      </c>
      <c r="L36" s="12">
        <v>325</v>
      </c>
      <c r="M36" s="12">
        <f t="shared" si="27"/>
        <v>785.5833333333334</v>
      </c>
      <c r="N36" s="23">
        <f t="shared" si="28"/>
        <v>24734.001893939392</v>
      </c>
      <c r="O36" s="23">
        <f t="shared" si="29"/>
        <v>31229</v>
      </c>
      <c r="P36" s="348">
        <f aca="true" t="shared" si="35" ref="P36:P53">39*K36</f>
        <v>35919</v>
      </c>
      <c r="Q36" s="348">
        <v>28800</v>
      </c>
      <c r="R36" s="23">
        <f t="shared" si="30"/>
        <v>132750.20208333334</v>
      </c>
      <c r="S36" s="352">
        <f t="shared" si="7"/>
        <v>28.163827746543614</v>
      </c>
      <c r="T36" s="24">
        <f t="shared" si="0"/>
        <v>59</v>
      </c>
      <c r="U36" s="72">
        <f t="shared" si="31"/>
        <v>374.61960177032773</v>
      </c>
      <c r="V36" s="73">
        <f t="shared" si="32"/>
        <v>0.47686806208167315</v>
      </c>
      <c r="W36" s="69">
        <f t="shared" si="33"/>
        <v>40617.561266611294</v>
      </c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N36" s="101">
        <f t="shared" si="19"/>
        <v>51100.5</v>
      </c>
      <c r="AO36" s="55">
        <f t="shared" si="20"/>
        <v>10.841306884480746</v>
      </c>
      <c r="AP36" s="55">
        <f t="shared" si="21"/>
        <v>69.84130688448074</v>
      </c>
      <c r="AQ36" s="102">
        <f>((AN36/'Assessed Value'!E27)*'Assessed Value'!G27)/12</f>
        <v>4.368848312448708</v>
      </c>
      <c r="AR36" s="84"/>
      <c r="AS36" s="107">
        <f>'Debt Service'!K69</f>
        <v>132977.77777777778</v>
      </c>
      <c r="AT36" s="107">
        <f t="shared" si="22"/>
        <v>28.212109425645014</v>
      </c>
      <c r="AU36" s="107">
        <f t="shared" si="23"/>
        <v>87.21210942564501</v>
      </c>
      <c r="AV36" s="107">
        <f>((AS36/'Assessed Value'!E27)*'Assessed Value'!G27)/12</f>
        <v>11.36896390519904</v>
      </c>
      <c r="AW36" s="157">
        <f>(AS36/'Assessed Value'!E27)*1000</f>
        <v>0.34110072729871577</v>
      </c>
      <c r="AX36" s="24"/>
      <c r="AY36" s="58">
        <f>(((AS36+AN36)/'Assessed Value'!E27)*'Assessed Value'!G27)/12</f>
        <v>15.73781221764775</v>
      </c>
      <c r="AZ36" s="58">
        <f t="shared" si="24"/>
        <v>98.05341631012575</v>
      </c>
      <c r="BA36" s="58">
        <f t="shared" si="34"/>
        <v>59</v>
      </c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T36"/>
      <c r="BU36"/>
      <c r="BV36"/>
      <c r="BW36"/>
    </row>
    <row r="37" spans="1:75" ht="13.5" customHeight="1">
      <c r="A37" s="9" t="s">
        <v>34</v>
      </c>
      <c r="B37" s="9">
        <f>VLOOKUP(C37,'Input Data'!$C$2:$D$28,2,FALSE)</f>
        <v>17</v>
      </c>
      <c r="C37" s="9" t="s">
        <v>12</v>
      </c>
      <c r="D37" s="10">
        <v>3100000</v>
      </c>
      <c r="E37" s="10">
        <v>680000</v>
      </c>
      <c r="F37" s="10">
        <v>460000</v>
      </c>
      <c r="G37" s="10">
        <v>1960000</v>
      </c>
      <c r="H37" s="10">
        <f>J37*450</f>
        <v>903600</v>
      </c>
      <c r="I37" s="11">
        <v>330344</v>
      </c>
      <c r="J37" s="11">
        <v>2008</v>
      </c>
      <c r="K37" s="12">
        <v>928</v>
      </c>
      <c r="L37" s="12">
        <v>463</v>
      </c>
      <c r="M37" s="12">
        <f>(K37-L37)+(L37*7/12)</f>
        <v>735.0833333333333</v>
      </c>
      <c r="N37" s="23">
        <f>442*I37/5280</f>
        <v>27653.79696969697</v>
      </c>
      <c r="O37" s="23">
        <f>J37*17</f>
        <v>34136</v>
      </c>
      <c r="P37" s="348">
        <f>39*K37</f>
        <v>36192</v>
      </c>
      <c r="Q37" s="348">
        <v>28800</v>
      </c>
      <c r="R37" s="23">
        <f>(N37+O37+P37+Q37)*1.1</f>
        <v>139459.97666666668</v>
      </c>
      <c r="S37" s="352">
        <f>R37/12/($P$8*M37)</f>
        <v>31.619992442277905</v>
      </c>
      <c r="T37" s="24">
        <f t="shared" si="0"/>
        <v>59</v>
      </c>
      <c r="U37" s="72">
        <f t="shared" si="31"/>
        <v>393.5545114196486</v>
      </c>
      <c r="V37" s="73">
        <f>U37/M37</f>
        <v>0.5353876133132053</v>
      </c>
      <c r="W37" s="69">
        <f t="shared" si="33"/>
        <v>38006.524656070666</v>
      </c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N37" s="101">
        <f>0.03*(D37-F37-H37)</f>
        <v>52092</v>
      </c>
      <c r="AO37" s="55">
        <f>(AN37/(M37*$P$8))/12</f>
        <v>11.810905792993992</v>
      </c>
      <c r="AP37" s="55">
        <f>T37+AO37</f>
        <v>70.81090579299399</v>
      </c>
      <c r="AQ37" s="102">
        <f>((AN37/'Assessed Value'!E21)*'Assessed Value'!G21)/12</f>
        <v>4.5003862067405835</v>
      </c>
      <c r="AR37" s="84"/>
      <c r="AS37" s="107">
        <f>'Debt Service'!K101</f>
        <v>139377.77777777778</v>
      </c>
      <c r="AT37" s="107">
        <f>AS37/(12*$P$8*M37)</f>
        <v>31.60135535149706</v>
      </c>
      <c r="AU37" s="107">
        <f>T37+AT37</f>
        <v>90.60135535149706</v>
      </c>
      <c r="AV37" s="107">
        <f>((AS37/'Assessed Value'!E21)*'Assessed Value'!G21)/12</f>
        <v>12.041269842533696</v>
      </c>
      <c r="AW37" s="157">
        <f>(AS37/'Assessed Value'!E21)*1000</f>
        <v>0.2764086334231453</v>
      </c>
      <c r="AX37" s="24"/>
      <c r="AY37" s="58">
        <f>(((AS37+AN37)/'Assessed Value'!E21)*'Assessed Value'!G21)/12</f>
        <v>16.541656049274277</v>
      </c>
      <c r="AZ37" s="58">
        <f>T37+AO37+AT37</f>
        <v>102.41226114449105</v>
      </c>
      <c r="BA37" s="58">
        <f>T37</f>
        <v>59</v>
      </c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T37"/>
      <c r="BU37"/>
      <c r="BV37"/>
      <c r="BW37"/>
    </row>
    <row r="38" spans="1:75" ht="13.5" customHeight="1">
      <c r="A38" s="9" t="s">
        <v>34</v>
      </c>
      <c r="B38" s="9" t="e">
        <f>VLOOKUP(C38,'Input Data'!$C$2:$D$28,2,FALSE)</f>
        <v>#N/A</v>
      </c>
      <c r="C38" s="9" t="s">
        <v>19</v>
      </c>
      <c r="D38" s="10">
        <v>3610000</v>
      </c>
      <c r="E38" s="10">
        <v>620000</v>
      </c>
      <c r="F38" s="10">
        <v>610000</v>
      </c>
      <c r="G38" s="10">
        <v>2380000</v>
      </c>
      <c r="H38" s="10">
        <f>J38*450</f>
        <v>792900</v>
      </c>
      <c r="I38" s="11">
        <v>376125</v>
      </c>
      <c r="J38" s="11">
        <v>1762</v>
      </c>
      <c r="K38" s="12">
        <v>671</v>
      </c>
      <c r="L38" s="12">
        <v>270</v>
      </c>
      <c r="M38" s="12">
        <f>(K38-L38)+(L38*7/12)</f>
        <v>558.5</v>
      </c>
      <c r="N38" s="23">
        <f>442*I38/5280</f>
        <v>31486.221590909092</v>
      </c>
      <c r="O38" s="23">
        <f>J38*17</f>
        <v>29954</v>
      </c>
      <c r="P38" s="348">
        <f>39*K38</f>
        <v>26169</v>
      </c>
      <c r="Q38" s="348">
        <v>28800</v>
      </c>
      <c r="R38" s="23">
        <f>(N38+O38+P38+Q38)*1.1</f>
        <v>128050.14375</v>
      </c>
      <c r="S38" s="352">
        <f>R38/12/($P$8*M38)</f>
        <v>38.212516786034016</v>
      </c>
      <c r="T38" s="24">
        <f t="shared" si="0"/>
        <v>59</v>
      </c>
      <c r="U38" s="72">
        <f t="shared" si="31"/>
        <v>361.35608914663055</v>
      </c>
      <c r="V38" s="73">
        <f>U38/M38</f>
        <v>0.6470117979348802</v>
      </c>
      <c r="W38" s="69">
        <f t="shared" si="33"/>
        <v>28876.513801721532</v>
      </c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N38" s="101">
        <f>0.03*(D38-F38-H38)</f>
        <v>66213</v>
      </c>
      <c r="AO38" s="55">
        <f>(AN38/(M38*$P$8))/12</f>
        <v>19.7591763652641</v>
      </c>
      <c r="AP38" s="55">
        <f>T38+AO38</f>
        <v>78.7591763652641</v>
      </c>
      <c r="AQ38" s="102">
        <f>((AN38/'Assessed Value'!E22)*'Assessed Value'!G22)/12</f>
        <v>7.3947998818082175</v>
      </c>
      <c r="AR38" s="84"/>
      <c r="AS38" s="107">
        <f>'Debt Service'!K165</f>
        <v>169244.44444444444</v>
      </c>
      <c r="AT38" s="107">
        <f>AS38/(12*$P$8*M38)</f>
        <v>50.505653370469844</v>
      </c>
      <c r="AU38" s="107">
        <f>T38+AT38</f>
        <v>109.50565337046984</v>
      </c>
      <c r="AV38" s="107">
        <f>((AS38/'Assessed Value'!E22)*'Assessed Value'!G22)/12</f>
        <v>18.901557062426942</v>
      </c>
      <c r="AW38" s="157">
        <f>(AS38/'Assessed Value'!E22)*1000</f>
        <v>0.783158436141439</v>
      </c>
      <c r="AX38" s="24"/>
      <c r="AY38" s="58">
        <f>(((AS38+AN38)/'Assessed Value'!E22)*'Assessed Value'!G22)/12</f>
        <v>26.29635694423516</v>
      </c>
      <c r="AZ38" s="58">
        <f>T38+AO38+AT38</f>
        <v>129.26482973573394</v>
      </c>
      <c r="BA38" s="58">
        <f>T38</f>
        <v>59</v>
      </c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T38"/>
      <c r="BU38"/>
      <c r="BV38"/>
      <c r="BW38"/>
    </row>
    <row r="39" spans="1:75" ht="13.5" customHeight="1">
      <c r="A39" s="9" t="s">
        <v>34</v>
      </c>
      <c r="B39" s="9">
        <f>VLOOKUP(C39,'Input Data'!$C$2:$D$28,2,FALSE)</f>
        <v>20</v>
      </c>
      <c r="C39" s="363" t="s">
        <v>14</v>
      </c>
      <c r="D39" s="364">
        <v>4730000</v>
      </c>
      <c r="E39" s="364">
        <v>920000</v>
      </c>
      <c r="F39" s="364">
        <v>790000</v>
      </c>
      <c r="G39" s="364">
        <v>3020000</v>
      </c>
      <c r="H39" s="364">
        <f t="shared" si="26"/>
        <v>1268100</v>
      </c>
      <c r="I39" s="365">
        <v>510203</v>
      </c>
      <c r="J39" s="365">
        <v>2818</v>
      </c>
      <c r="K39" s="366">
        <v>1039</v>
      </c>
      <c r="L39" s="366">
        <v>347</v>
      </c>
      <c r="M39" s="366">
        <f t="shared" si="27"/>
        <v>894.4166666666666</v>
      </c>
      <c r="N39" s="348">
        <f t="shared" si="28"/>
        <v>42710.17537878788</v>
      </c>
      <c r="O39" s="348">
        <f t="shared" si="29"/>
        <v>47906</v>
      </c>
      <c r="P39" s="348">
        <f t="shared" si="35"/>
        <v>40521</v>
      </c>
      <c r="Q39" s="348">
        <v>28800</v>
      </c>
      <c r="R39" s="348">
        <f t="shared" si="30"/>
        <v>175930.8929166667</v>
      </c>
      <c r="S39" s="352">
        <f t="shared" si="7"/>
        <v>32.7831720705612</v>
      </c>
      <c r="T39" s="65">
        <f t="shared" si="0"/>
        <v>59</v>
      </c>
      <c r="U39" s="72">
        <f t="shared" si="31"/>
        <v>496.47503362870157</v>
      </c>
      <c r="V39" s="73">
        <f t="shared" si="32"/>
        <v>0.5550824935753674</v>
      </c>
      <c r="W39" s="69">
        <f t="shared" si="33"/>
        <v>46244.64676721534</v>
      </c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N39" s="101">
        <f t="shared" si="19"/>
        <v>80157</v>
      </c>
      <c r="AO39" s="55">
        <f t="shared" si="20"/>
        <v>14.936550824559768</v>
      </c>
      <c r="AP39" s="55">
        <f t="shared" si="21"/>
        <v>73.93655082455977</v>
      </c>
      <c r="AQ39" s="102">
        <f>((AN39/'Assessed Value'!E28)*'Assessed Value'!G28)/12</f>
        <v>6.078220719287109</v>
      </c>
      <c r="AR39" s="84"/>
      <c r="AS39" s="107">
        <f>'Debt Service'!K117</f>
        <v>214755.55555555556</v>
      </c>
      <c r="AT39" s="107">
        <f t="shared" si="22"/>
        <v>40.017805936002155</v>
      </c>
      <c r="AU39" s="107">
        <f t="shared" si="23"/>
        <v>99.01780593600216</v>
      </c>
      <c r="AV39" s="107">
        <f>((AS39/'Assessed Value'!E28)*'Assessed Value'!G28)/12</f>
        <v>16.28468714347832</v>
      </c>
      <c r="AW39" s="157">
        <f>(AS39/'Assessed Value'!E28)*1000</f>
        <v>0.43500486586297044</v>
      </c>
      <c r="AX39" s="24"/>
      <c r="AY39" s="58">
        <f>(((AS39+AN39)/'Assessed Value'!E28)*'Assessed Value'!G28)/12</f>
        <v>22.36290786276543</v>
      </c>
      <c r="AZ39" s="58">
        <f t="shared" si="24"/>
        <v>113.95435676056192</v>
      </c>
      <c r="BA39" s="58">
        <f t="shared" si="34"/>
        <v>59</v>
      </c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T39"/>
      <c r="BU39"/>
      <c r="BV39"/>
      <c r="BW39"/>
    </row>
    <row r="40" spans="1:75" ht="13.5" customHeight="1">
      <c r="A40" s="9" t="s">
        <v>34</v>
      </c>
      <c r="B40" s="9" t="e">
        <f>VLOOKUP(C40,'Input Data'!$C$2:$D$28,2,FALSE)</f>
        <v>#N/A</v>
      </c>
      <c r="C40" s="9" t="s">
        <v>21</v>
      </c>
      <c r="D40" s="10">
        <v>2650000</v>
      </c>
      <c r="E40" s="10">
        <v>430000</v>
      </c>
      <c r="F40" s="10">
        <v>400000</v>
      </c>
      <c r="G40" s="10">
        <v>1820000</v>
      </c>
      <c r="H40" s="10">
        <f t="shared" si="26"/>
        <v>275850</v>
      </c>
      <c r="I40" s="11">
        <v>137234</v>
      </c>
      <c r="J40" s="11">
        <v>613</v>
      </c>
      <c r="K40" s="11">
        <v>510</v>
      </c>
      <c r="L40" s="11">
        <v>288</v>
      </c>
      <c r="M40" s="12">
        <f t="shared" si="27"/>
        <v>390</v>
      </c>
      <c r="N40" s="23">
        <f t="shared" si="28"/>
        <v>11488.149242424242</v>
      </c>
      <c r="O40" s="23">
        <f t="shared" si="29"/>
        <v>10421</v>
      </c>
      <c r="P40" s="348">
        <f t="shared" si="35"/>
        <v>19890</v>
      </c>
      <c r="Q40" s="348">
        <v>28800</v>
      </c>
      <c r="R40" s="23">
        <f t="shared" si="30"/>
        <v>77659.06416666668</v>
      </c>
      <c r="S40" s="352">
        <f t="shared" si="7"/>
        <v>33.18763425925926</v>
      </c>
      <c r="T40" s="24">
        <f t="shared" si="0"/>
        <v>59</v>
      </c>
      <c r="U40" s="72">
        <f t="shared" si="31"/>
        <v>219.15301999849495</v>
      </c>
      <c r="V40" s="73">
        <f t="shared" si="32"/>
        <v>0.5619308205089614</v>
      </c>
      <c r="W40" s="69">
        <f t="shared" si="33"/>
        <v>20164.441150709754</v>
      </c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N40" s="101">
        <f t="shared" si="19"/>
        <v>59224.5</v>
      </c>
      <c r="AO40" s="55">
        <f t="shared" si="20"/>
        <v>25.309615384615384</v>
      </c>
      <c r="AP40" s="55">
        <f t="shared" si="21"/>
        <v>84.30961538461538</v>
      </c>
      <c r="AQ40" s="102">
        <f>((AN40/'Assessed Value'!E29)*'Assessed Value'!G29)/12</f>
        <v>8.686250002198227</v>
      </c>
      <c r="AR40" s="84"/>
      <c r="AS40" s="107">
        <f>'Debt Service'!K181</f>
        <v>129422.22222222222</v>
      </c>
      <c r="AT40" s="107">
        <f t="shared" si="22"/>
        <v>55.30864197530864</v>
      </c>
      <c r="AU40" s="107">
        <f t="shared" si="23"/>
        <v>114.30864197530863</v>
      </c>
      <c r="AV40" s="107">
        <f>((AS40/'Assessed Value'!E29)*'Assessed Value'!G29)/12</f>
        <v>18.981904077911622</v>
      </c>
      <c r="AW40" s="157">
        <f>(AS40/'Assessed Value'!E29)*1000</f>
        <v>0.6947727399232598</v>
      </c>
      <c r="AX40" s="24"/>
      <c r="AY40" s="58">
        <f>(((AS40+AN40)/'Assessed Value'!E29)*'Assessed Value'!G29)/12</f>
        <v>27.668154080109844</v>
      </c>
      <c r="AZ40" s="58">
        <f t="shared" si="24"/>
        <v>139.61825735992403</v>
      </c>
      <c r="BA40" s="58">
        <f t="shared" si="34"/>
        <v>59</v>
      </c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T40"/>
      <c r="BU40"/>
      <c r="BV40"/>
      <c r="BW40"/>
    </row>
    <row r="41" spans="1:75" ht="13.5" customHeight="1">
      <c r="A41" s="9" t="s">
        <v>34</v>
      </c>
      <c r="B41" s="9" t="e">
        <f>VLOOKUP(C41,'Input Data'!$C$2:$D$28,2,FALSE)</f>
        <v>#N/A</v>
      </c>
      <c r="C41" s="9" t="s">
        <v>90</v>
      </c>
      <c r="D41" s="120">
        <v>1380000</v>
      </c>
      <c r="E41" s="120">
        <v>220000</v>
      </c>
      <c r="F41" s="120">
        <v>260000</v>
      </c>
      <c r="G41" s="121">
        <f>+F41+E41+D41</f>
        <v>1860000</v>
      </c>
      <c r="H41" s="10">
        <f t="shared" si="26"/>
        <v>337500</v>
      </c>
      <c r="I41" s="5">
        <v>125488</v>
      </c>
      <c r="J41" s="5">
        <v>750</v>
      </c>
      <c r="K41" s="5">
        <v>280</v>
      </c>
      <c r="L41" s="5">
        <v>131</v>
      </c>
      <c r="M41" s="12">
        <f t="shared" si="27"/>
        <v>225.41666666666669</v>
      </c>
      <c r="N41" s="23">
        <f t="shared" si="28"/>
        <v>10504.866666666667</v>
      </c>
      <c r="O41" s="23">
        <f t="shared" si="29"/>
        <v>12750</v>
      </c>
      <c r="P41" s="348">
        <f t="shared" si="35"/>
        <v>10920</v>
      </c>
      <c r="Q41" s="348">
        <v>28800</v>
      </c>
      <c r="R41" s="23">
        <f t="shared" si="30"/>
        <v>69272.35333333335</v>
      </c>
      <c r="S41" s="352">
        <f t="shared" si="7"/>
        <v>51.21800616142946</v>
      </c>
      <c r="T41" s="24">
        <f t="shared" si="0"/>
        <v>59</v>
      </c>
      <c r="U41" s="72">
        <f t="shared" si="31"/>
        <v>195.48581480227267</v>
      </c>
      <c r="V41" s="73">
        <f t="shared" si="32"/>
        <v>0.8672198808233907</v>
      </c>
      <c r="W41" s="69">
        <f t="shared" si="33"/>
        <v>11654.874639459376</v>
      </c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N41" s="101">
        <f t="shared" si="19"/>
        <v>23475</v>
      </c>
      <c r="AO41" s="55">
        <f t="shared" si="20"/>
        <v>17.356746765249536</v>
      </c>
      <c r="AP41" s="55">
        <f t="shared" si="21"/>
        <v>76.35674676524954</v>
      </c>
      <c r="AQ41" s="102">
        <f>((AN41/'Assessed Value'!E30)*'Assessed Value'!G30)/12</f>
        <v>5.81474516188374</v>
      </c>
      <c r="AR41" s="84"/>
      <c r="AS41" s="107">
        <f>'Debt Service'!K182</f>
        <v>43875</v>
      </c>
      <c r="AT41" s="107">
        <f t="shared" si="22"/>
        <v>32.43992606284658</v>
      </c>
      <c r="AU41" s="107">
        <f t="shared" si="23"/>
        <v>91.43992606284658</v>
      </c>
      <c r="AV41" s="107">
        <f>((AS41/'Assessed Value'!E30)*'Assessed Value'!G30)/12</f>
        <v>10.867814439942455</v>
      </c>
      <c r="AW41" s="157">
        <f>(AS41/'Assessed Value'!E30)*1000</f>
        <v>0.2278242259376596</v>
      </c>
      <c r="AX41" s="24"/>
      <c r="AY41" s="58">
        <f>(((AS41+AN41)/'Assessed Value'!E30)*'Assessed Value'!G30)/12</f>
        <v>16.682559601826192</v>
      </c>
      <c r="AZ41" s="58">
        <f t="shared" si="24"/>
        <v>108.79667282809612</v>
      </c>
      <c r="BA41" s="58">
        <f t="shared" si="34"/>
        <v>59</v>
      </c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T41"/>
      <c r="BU41"/>
      <c r="BV41"/>
      <c r="BW41"/>
    </row>
    <row r="42" spans="1:75" ht="13.5" customHeight="1">
      <c r="A42" s="9" t="s">
        <v>34</v>
      </c>
      <c r="B42" s="9" t="e">
        <f>VLOOKUP(C42,'Input Data'!$C$2:$D$28,2,FALSE)</f>
        <v>#N/A</v>
      </c>
      <c r="C42" s="9" t="s">
        <v>22</v>
      </c>
      <c r="D42" s="10">
        <v>2480000</v>
      </c>
      <c r="E42" s="10">
        <v>450000</v>
      </c>
      <c r="F42" s="10">
        <v>420000</v>
      </c>
      <c r="G42" s="10">
        <v>1610000</v>
      </c>
      <c r="H42" s="10">
        <f t="shared" si="26"/>
        <v>706500</v>
      </c>
      <c r="I42" s="11">
        <v>258480</v>
      </c>
      <c r="J42" s="11">
        <v>1570</v>
      </c>
      <c r="K42" s="12">
        <v>426</v>
      </c>
      <c r="L42" s="12">
        <v>63</v>
      </c>
      <c r="M42" s="12">
        <f t="shared" si="27"/>
        <v>399.75</v>
      </c>
      <c r="N42" s="23">
        <f t="shared" si="28"/>
        <v>21637.909090909092</v>
      </c>
      <c r="O42" s="23">
        <f t="shared" si="29"/>
        <v>26690</v>
      </c>
      <c r="P42" s="348">
        <f t="shared" si="35"/>
        <v>16614</v>
      </c>
      <c r="Q42" s="348">
        <v>28800</v>
      </c>
      <c r="R42" s="23">
        <f t="shared" si="30"/>
        <v>103116.1</v>
      </c>
      <c r="S42" s="352">
        <f t="shared" si="7"/>
        <v>42.99191161142381</v>
      </c>
      <c r="T42" s="24">
        <f t="shared" si="0"/>
        <v>59</v>
      </c>
      <c r="U42" s="72">
        <f t="shared" si="31"/>
        <v>290.99249350942546</v>
      </c>
      <c r="V42" s="73">
        <f t="shared" si="32"/>
        <v>0.7279361938947478</v>
      </c>
      <c r="W42" s="69">
        <f t="shared" si="33"/>
        <v>20668.552179477494</v>
      </c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N42" s="101">
        <f t="shared" si="19"/>
        <v>40605</v>
      </c>
      <c r="AO42" s="55">
        <f t="shared" si="20"/>
        <v>16.929330831769857</v>
      </c>
      <c r="AP42" s="55">
        <f t="shared" si="21"/>
        <v>75.92933083176986</v>
      </c>
      <c r="AQ42" s="102">
        <f>((AN42/'Assessed Value'!E31)*'Assessed Value'!G31)/12</f>
        <v>7.437154103850189</v>
      </c>
      <c r="AR42" s="84"/>
      <c r="AS42" s="107">
        <f>'Debt Service'!K197</f>
        <v>114488.88888888888</v>
      </c>
      <c r="AT42" s="107">
        <f t="shared" si="22"/>
        <v>47.73353716443147</v>
      </c>
      <c r="AU42" s="107">
        <f t="shared" si="23"/>
        <v>106.73353716443147</v>
      </c>
      <c r="AV42" s="107">
        <f>((AS42/'Assessed Value'!E31)*'Assessed Value'!G31)/12</f>
        <v>20.9696222102019</v>
      </c>
      <c r="AW42" s="157">
        <f>(AS42/'Assessed Value'!E31)*1000</f>
        <v>1.5295952483741146</v>
      </c>
      <c r="AX42" s="24"/>
      <c r="AY42" s="58">
        <f>(((AS42+AN42)/'Assessed Value'!E31)*'Assessed Value'!G31)/12</f>
        <v>28.406776314052085</v>
      </c>
      <c r="AZ42" s="58">
        <f t="shared" si="24"/>
        <v>123.66286799620133</v>
      </c>
      <c r="BA42" s="58">
        <f t="shared" si="34"/>
        <v>59</v>
      </c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T42"/>
      <c r="BU42"/>
      <c r="BV42"/>
      <c r="BW42"/>
    </row>
    <row r="43" spans="1:75" ht="13.5" customHeight="1">
      <c r="A43" s="9" t="s">
        <v>34</v>
      </c>
      <c r="B43" s="9"/>
      <c r="C43" s="9" t="s">
        <v>137</v>
      </c>
      <c r="D43" s="150">
        <v>1310000</v>
      </c>
      <c r="E43" s="150">
        <v>270000</v>
      </c>
      <c r="F43" s="150">
        <v>210000</v>
      </c>
      <c r="G43" s="150">
        <v>830000</v>
      </c>
      <c r="H43" s="10">
        <f t="shared" si="26"/>
        <v>353250</v>
      </c>
      <c r="I43" s="5">
        <v>138608</v>
      </c>
      <c r="J43" s="5">
        <v>785</v>
      </c>
      <c r="K43" s="151">
        <v>342</v>
      </c>
      <c r="L43" s="151">
        <v>111</v>
      </c>
      <c r="M43" s="12">
        <f t="shared" si="27"/>
        <v>295.75</v>
      </c>
      <c r="N43" s="23">
        <f t="shared" si="28"/>
        <v>11603.169696969697</v>
      </c>
      <c r="O43" s="23">
        <f t="shared" si="29"/>
        <v>13345</v>
      </c>
      <c r="P43" s="348">
        <f t="shared" si="35"/>
        <v>13338</v>
      </c>
      <c r="Q43" s="348">
        <v>28800</v>
      </c>
      <c r="R43" s="23">
        <f t="shared" si="30"/>
        <v>73794.78666666667</v>
      </c>
      <c r="S43" s="352">
        <f t="shared" si="7"/>
        <v>41.58624213393444</v>
      </c>
      <c r="T43" s="24">
        <f t="shared" si="0"/>
        <v>59</v>
      </c>
      <c r="U43" s="72">
        <f t="shared" si="31"/>
        <v>208.2480716408925</v>
      </c>
      <c r="V43" s="73">
        <f t="shared" si="32"/>
        <v>0.7041354916006509</v>
      </c>
      <c r="W43" s="69">
        <f t="shared" si="33"/>
        <v>15291.367872621562</v>
      </c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N43" s="101">
        <f t="shared" si="19"/>
        <v>22402.5</v>
      </c>
      <c r="AO43" s="55">
        <f t="shared" si="20"/>
        <v>12.624683009298394</v>
      </c>
      <c r="AP43" s="55">
        <f t="shared" si="21"/>
        <v>71.6246830092984</v>
      </c>
      <c r="AQ43" s="102">
        <f>((AN43/'Assessed Value'!E32)*'Assessed Value'!G32)/12</f>
        <v>5.331395188993675</v>
      </c>
      <c r="AR43" s="84"/>
      <c r="AS43" s="107">
        <f>'Debt Service'!K245</f>
        <v>59022.22222222222</v>
      </c>
      <c r="AT43" s="107">
        <f t="shared" si="22"/>
        <v>33.26132556901788</v>
      </c>
      <c r="AU43" s="107">
        <f t="shared" si="23"/>
        <v>92.26132556901788</v>
      </c>
      <c r="AV43" s="107">
        <f>((AS43/'Assessed Value'!E32)*'Assessed Value'!G32)/12</f>
        <v>14.046235536179937</v>
      </c>
      <c r="AW43" s="157">
        <f>(AS43/'Assessed Value'!E32)*1000</f>
        <v>0.2140992320639008</v>
      </c>
      <c r="AX43" s="24"/>
      <c r="AY43" s="58">
        <f>(((AS43+AN43)/'Assessed Value'!E32)*'Assessed Value'!G32)/12</f>
        <v>19.377630725173614</v>
      </c>
      <c r="AZ43" s="58">
        <f t="shared" si="24"/>
        <v>104.88600857831628</v>
      </c>
      <c r="BA43" s="58">
        <f t="shared" si="34"/>
        <v>59</v>
      </c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T43"/>
      <c r="BU43"/>
      <c r="BV43"/>
      <c r="BW43"/>
    </row>
    <row r="44" spans="1:75" ht="13.5" customHeight="1">
      <c r="A44" s="9" t="s">
        <v>34</v>
      </c>
      <c r="B44" s="9"/>
      <c r="C44" s="9" t="s">
        <v>138</v>
      </c>
      <c r="D44" s="150">
        <v>1700000</v>
      </c>
      <c r="E44" s="150">
        <v>350000</v>
      </c>
      <c r="F44" s="150">
        <v>290000</v>
      </c>
      <c r="G44" s="150">
        <v>1060000</v>
      </c>
      <c r="H44" s="10">
        <f t="shared" si="26"/>
        <v>498600</v>
      </c>
      <c r="I44" s="5">
        <v>197170</v>
      </c>
      <c r="J44" s="5">
        <v>1108</v>
      </c>
      <c r="K44" s="151">
        <v>356</v>
      </c>
      <c r="L44" s="151">
        <v>21</v>
      </c>
      <c r="M44" s="12">
        <f t="shared" si="27"/>
        <v>347.25</v>
      </c>
      <c r="N44" s="23">
        <f t="shared" si="28"/>
        <v>16505.51893939394</v>
      </c>
      <c r="O44" s="23">
        <f t="shared" si="29"/>
        <v>18836</v>
      </c>
      <c r="P44" s="348">
        <f t="shared" si="35"/>
        <v>13884</v>
      </c>
      <c r="Q44" s="348">
        <v>28800</v>
      </c>
      <c r="R44" s="23">
        <f t="shared" si="30"/>
        <v>85828.07083333333</v>
      </c>
      <c r="S44" s="352">
        <f t="shared" si="7"/>
        <v>41.19417846572274</v>
      </c>
      <c r="T44" s="24">
        <f t="shared" si="0"/>
        <v>59</v>
      </c>
      <c r="U44" s="72">
        <f t="shared" si="31"/>
        <v>242.2058664446702</v>
      </c>
      <c r="V44" s="73">
        <f t="shared" si="32"/>
        <v>0.6974970955930028</v>
      </c>
      <c r="W44" s="69">
        <f t="shared" si="33"/>
        <v>17954.108178420414</v>
      </c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N44" s="101">
        <f t="shared" si="19"/>
        <v>27342</v>
      </c>
      <c r="AO44" s="55">
        <f t="shared" si="20"/>
        <v>13.123110151187904</v>
      </c>
      <c r="AP44" s="55">
        <f t="shared" si="21"/>
        <v>72.1231101511879</v>
      </c>
      <c r="AQ44" s="102">
        <f>((AN44/'Assessed Value'!E33)*'Assessed Value'!G33)/12</f>
        <v>3.080564579120112</v>
      </c>
      <c r="AR44" s="84"/>
      <c r="AS44" s="107">
        <f>'Debt Service'!K253</f>
        <v>75377.77777777778</v>
      </c>
      <c r="AT44" s="107">
        <f t="shared" si="22"/>
        <v>36.17843905820868</v>
      </c>
      <c r="AU44" s="107">
        <f t="shared" si="23"/>
        <v>95.17843905820868</v>
      </c>
      <c r="AV44" s="107">
        <f>((AS44/'Assessed Value'!E33)*'Assessed Value'!G33)/12</f>
        <v>8.492652778692465</v>
      </c>
      <c r="AW44" s="157">
        <f>(AS44/'Assessed Value'!E33)*1000</f>
        <v>0.6033771431388679</v>
      </c>
      <c r="AX44" s="24"/>
      <c r="AY44" s="58">
        <f>(((AS44+AN44)/'Assessed Value'!E33)*'Assessed Value'!G33)/12</f>
        <v>11.573217357812576</v>
      </c>
      <c r="AZ44" s="58">
        <f t="shared" si="24"/>
        <v>108.30154920939658</v>
      </c>
      <c r="BA44" s="58">
        <f t="shared" si="34"/>
        <v>59</v>
      </c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T44"/>
      <c r="BU44"/>
      <c r="BV44"/>
      <c r="BW44"/>
    </row>
    <row r="45" spans="1:75" ht="13.5" customHeight="1">
      <c r="A45" s="9" t="s">
        <v>34</v>
      </c>
      <c r="B45" s="9"/>
      <c r="C45" s="9" t="s">
        <v>139</v>
      </c>
      <c r="D45" s="150">
        <v>1540000</v>
      </c>
      <c r="E45" s="150">
        <v>250000</v>
      </c>
      <c r="F45" s="150">
        <v>270000</v>
      </c>
      <c r="G45" s="150">
        <v>1020000</v>
      </c>
      <c r="H45" s="10">
        <f t="shared" si="26"/>
        <v>374850</v>
      </c>
      <c r="I45" s="5">
        <v>152975</v>
      </c>
      <c r="J45" s="5">
        <v>833</v>
      </c>
      <c r="K45" s="151">
        <v>198</v>
      </c>
      <c r="L45" s="151">
        <v>61</v>
      </c>
      <c r="M45" s="12">
        <f t="shared" si="27"/>
        <v>172.58333333333334</v>
      </c>
      <c r="N45" s="23">
        <f t="shared" si="28"/>
        <v>12805.861742424242</v>
      </c>
      <c r="O45" s="23">
        <f t="shared" si="29"/>
        <v>14161</v>
      </c>
      <c r="P45" s="348">
        <f t="shared" si="35"/>
        <v>7722</v>
      </c>
      <c r="Q45" s="348">
        <v>28800</v>
      </c>
      <c r="R45" s="23">
        <f t="shared" si="30"/>
        <v>69837.74791666667</v>
      </c>
      <c r="S45" s="352">
        <f t="shared" si="7"/>
        <v>67.4435035409625</v>
      </c>
      <c r="T45" s="24">
        <f t="shared" si="0"/>
        <v>59</v>
      </c>
      <c r="U45" s="72">
        <f t="shared" si="31"/>
        <v>197.08135206193327</v>
      </c>
      <c r="V45" s="73">
        <f t="shared" si="32"/>
        <v>1.141948925515789</v>
      </c>
      <c r="W45" s="69">
        <f t="shared" si="33"/>
        <v>8923.196073316218</v>
      </c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N45" s="101">
        <f t="shared" si="19"/>
        <v>26854.5</v>
      </c>
      <c r="AO45" s="55">
        <f t="shared" si="20"/>
        <v>25.933848382423946</v>
      </c>
      <c r="AP45" s="55">
        <f t="shared" si="21"/>
        <v>84.93384838242395</v>
      </c>
      <c r="AQ45" s="102">
        <f>((AN45/'Assessed Value'!E34)*'Assessed Value'!G34)/12</f>
        <v>10.168775055728483</v>
      </c>
      <c r="AR45" s="84"/>
      <c r="AS45" s="107">
        <f>'Debt Service'!K261</f>
        <v>72533.33333333333</v>
      </c>
      <c r="AT45" s="107">
        <f t="shared" si="22"/>
        <v>70.0466763238371</v>
      </c>
      <c r="AU45" s="107">
        <f t="shared" si="23"/>
        <v>129.04667632383712</v>
      </c>
      <c r="AV45" s="107">
        <f>((AS45/'Assessed Value'!E34)*'Assessed Value'!G34)/12</f>
        <v>27.46560728030086</v>
      </c>
      <c r="AW45" s="157">
        <f>(AS45/'Assessed Value'!E34)*1000</f>
        <v>1.4018540253913</v>
      </c>
      <c r="AX45" s="24"/>
      <c r="AY45" s="58">
        <f>(((AS45+AN45)/'Assessed Value'!E34)*'Assessed Value'!G34)/12</f>
        <v>37.63438233602934</v>
      </c>
      <c r="AZ45" s="58">
        <f t="shared" si="24"/>
        <v>154.98052470626106</v>
      </c>
      <c r="BA45" s="58">
        <f t="shared" si="34"/>
        <v>59</v>
      </c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T45"/>
      <c r="BU45"/>
      <c r="BV45"/>
      <c r="BW45"/>
    </row>
    <row r="46" spans="1:75" ht="13.5" customHeight="1">
      <c r="A46" s="9" t="s">
        <v>34</v>
      </c>
      <c r="B46" s="9"/>
      <c r="C46" s="9" t="s">
        <v>140</v>
      </c>
      <c r="D46" s="150">
        <v>1590000</v>
      </c>
      <c r="E46" s="150">
        <v>310000</v>
      </c>
      <c r="F46" s="150">
        <v>270000</v>
      </c>
      <c r="G46" s="150">
        <v>1010000</v>
      </c>
      <c r="H46" s="10">
        <f t="shared" si="26"/>
        <v>351450</v>
      </c>
      <c r="I46" s="5">
        <v>165239</v>
      </c>
      <c r="J46" s="5">
        <v>781</v>
      </c>
      <c r="K46" s="12">
        <v>279</v>
      </c>
      <c r="L46" s="151">
        <v>49</v>
      </c>
      <c r="M46" s="12">
        <f t="shared" si="27"/>
        <v>258.5833333333333</v>
      </c>
      <c r="N46" s="23">
        <f t="shared" si="28"/>
        <v>13832.507196969696</v>
      </c>
      <c r="O46" s="23">
        <f t="shared" si="29"/>
        <v>13277</v>
      </c>
      <c r="P46" s="348">
        <f t="shared" si="35"/>
        <v>10881</v>
      </c>
      <c r="Q46" s="348">
        <v>28800</v>
      </c>
      <c r="R46" s="23">
        <f t="shared" si="30"/>
        <v>73469.55791666667</v>
      </c>
      <c r="S46" s="352">
        <f t="shared" si="7"/>
        <v>47.35388844129338</v>
      </c>
      <c r="T46" s="24">
        <f t="shared" si="0"/>
        <v>59</v>
      </c>
      <c r="U46" s="72">
        <f t="shared" si="31"/>
        <v>207.3302797061369</v>
      </c>
      <c r="V46" s="73">
        <f t="shared" si="32"/>
        <v>0.801792896059827</v>
      </c>
      <c r="W46" s="69">
        <f t="shared" si="33"/>
        <v>13369.713865524009</v>
      </c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N46" s="101">
        <f t="shared" si="19"/>
        <v>29056.5</v>
      </c>
      <c r="AO46" s="55">
        <f t="shared" si="20"/>
        <v>18.728005156300355</v>
      </c>
      <c r="AP46" s="55">
        <f t="shared" si="21"/>
        <v>77.72800515630036</v>
      </c>
      <c r="AQ46" s="102">
        <f>((AN46/'Assessed Value'!E35)*'Assessed Value'!G35)/12</f>
        <v>7.97110627013016</v>
      </c>
      <c r="AR46" s="84"/>
      <c r="AS46" s="107">
        <f>'Debt Service'!K269</f>
        <v>71822.22222222222</v>
      </c>
      <c r="AT46" s="107">
        <f t="shared" si="22"/>
        <v>46.29211873813872</v>
      </c>
      <c r="AU46" s="107">
        <f t="shared" si="23"/>
        <v>105.29211873813873</v>
      </c>
      <c r="AV46" s="107">
        <f>((AS46/'Assessed Value'!E35)*'Assessed Value'!G35)/12</f>
        <v>19.703080752679682</v>
      </c>
      <c r="AW46" s="157">
        <f>(AS46/'Assessed Value'!E35)*1000</f>
        <v>1.0841635583299944</v>
      </c>
      <c r="AX46" s="24"/>
      <c r="AY46" s="58">
        <f>(((AS46+AN46)/'Assessed Value'!E35)*'Assessed Value'!G35)/12</f>
        <v>27.674187022809843</v>
      </c>
      <c r="AZ46" s="58">
        <f t="shared" si="24"/>
        <v>124.02012389443908</v>
      </c>
      <c r="BA46" s="58">
        <f t="shared" si="34"/>
        <v>59</v>
      </c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T46"/>
      <c r="BU46"/>
      <c r="BV46"/>
      <c r="BW46"/>
    </row>
    <row r="47" spans="1:75" ht="13.5" customHeight="1">
      <c r="A47" s="9" t="s">
        <v>34</v>
      </c>
      <c r="B47" s="9"/>
      <c r="C47" s="9" t="s">
        <v>141</v>
      </c>
      <c r="D47" s="150">
        <v>1080000</v>
      </c>
      <c r="E47" s="150">
        <v>130000</v>
      </c>
      <c r="F47" s="150">
        <v>200000</v>
      </c>
      <c r="G47" s="150">
        <v>750000</v>
      </c>
      <c r="H47" s="10">
        <f t="shared" si="26"/>
        <v>126900</v>
      </c>
      <c r="I47" s="5">
        <v>61013</v>
      </c>
      <c r="J47" s="5">
        <v>282</v>
      </c>
      <c r="K47" s="151">
        <v>77</v>
      </c>
      <c r="L47" s="151">
        <v>13</v>
      </c>
      <c r="M47" s="12">
        <f t="shared" si="27"/>
        <v>71.58333333333333</v>
      </c>
      <c r="N47" s="23">
        <f t="shared" si="28"/>
        <v>5107.527651515152</v>
      </c>
      <c r="O47" s="23">
        <f t="shared" si="29"/>
        <v>4794</v>
      </c>
      <c r="P47" s="348">
        <f t="shared" si="35"/>
        <v>3003</v>
      </c>
      <c r="Q47" s="348">
        <v>28800</v>
      </c>
      <c r="R47" s="23">
        <f t="shared" si="30"/>
        <v>45874.980416666665</v>
      </c>
      <c r="S47" s="352">
        <f t="shared" si="7"/>
        <v>106.81019887466046</v>
      </c>
      <c r="T47" s="24">
        <f t="shared" si="0"/>
        <v>59</v>
      </c>
      <c r="U47" s="72">
        <f t="shared" si="31"/>
        <v>129.45868725777927</v>
      </c>
      <c r="V47" s="73">
        <f t="shared" si="32"/>
        <v>1.8085031980132147</v>
      </c>
      <c r="W47" s="69">
        <f t="shared" si="33"/>
        <v>3701.1228522349734</v>
      </c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N47" s="101">
        <f t="shared" si="19"/>
        <v>22593</v>
      </c>
      <c r="AO47" s="55">
        <f t="shared" si="20"/>
        <v>52.60302677532014</v>
      </c>
      <c r="AP47" s="55">
        <f t="shared" si="21"/>
        <v>111.60302677532013</v>
      </c>
      <c r="AQ47" s="102">
        <f>((AN47/'Assessed Value'!E36)*'Assessed Value'!G36)/12</f>
        <v>9.1024402342193</v>
      </c>
      <c r="AR47" s="84"/>
      <c r="AS47" s="107">
        <f>'Debt Service'!K277</f>
        <v>53333.333333333336</v>
      </c>
      <c r="AT47" s="107">
        <f t="shared" si="22"/>
        <v>124.17539774932092</v>
      </c>
      <c r="AU47" s="107">
        <f t="shared" si="23"/>
        <v>183.17539774932092</v>
      </c>
      <c r="AV47" s="107">
        <f>((AS47/'Assessed Value'!E36)*'Assessed Value'!G36)/12</f>
        <v>21.487340289397718</v>
      </c>
      <c r="AW47" s="157">
        <f>(AS47/'Assessed Value'!E36)*1000</f>
        <v>2.0633433246865063</v>
      </c>
      <c r="AX47" s="24"/>
      <c r="AY47" s="58">
        <f>(((AS47+AN47)/'Assessed Value'!E36)*'Assessed Value'!G36)/12</f>
        <v>30.58978052361702</v>
      </c>
      <c r="AZ47" s="58">
        <f t="shared" si="24"/>
        <v>235.77842452464105</v>
      </c>
      <c r="BA47" s="58">
        <f t="shared" si="34"/>
        <v>59</v>
      </c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T47"/>
      <c r="BU47"/>
      <c r="BV47"/>
      <c r="BW47"/>
    </row>
    <row r="48" spans="1:75" ht="13.5" customHeight="1">
      <c r="A48" s="9" t="s">
        <v>34</v>
      </c>
      <c r="B48" s="9"/>
      <c r="C48" s="9" t="s">
        <v>142</v>
      </c>
      <c r="D48" s="150">
        <v>1250000</v>
      </c>
      <c r="E48" s="150">
        <v>230000</v>
      </c>
      <c r="F48" s="150">
        <v>220000</v>
      </c>
      <c r="G48" s="150">
        <v>800000</v>
      </c>
      <c r="H48" s="10">
        <f t="shared" si="26"/>
        <v>283500</v>
      </c>
      <c r="I48" s="5">
        <v>119655</v>
      </c>
      <c r="J48" s="5">
        <v>630</v>
      </c>
      <c r="K48" s="151">
        <v>148</v>
      </c>
      <c r="L48" s="12">
        <v>68</v>
      </c>
      <c r="M48" s="12">
        <f t="shared" si="27"/>
        <v>119.66666666666666</v>
      </c>
      <c r="N48" s="23">
        <f t="shared" si="28"/>
        <v>10016.573863636364</v>
      </c>
      <c r="O48" s="23">
        <f t="shared" si="29"/>
        <v>10710</v>
      </c>
      <c r="P48" s="348">
        <f t="shared" si="35"/>
        <v>5772</v>
      </c>
      <c r="Q48" s="348">
        <v>28800</v>
      </c>
      <c r="R48" s="23">
        <f t="shared" si="30"/>
        <v>60828.43125000001</v>
      </c>
      <c r="S48" s="352">
        <f t="shared" si="7"/>
        <v>84.7192635793872</v>
      </c>
      <c r="T48" s="24">
        <f t="shared" si="0"/>
        <v>59</v>
      </c>
      <c r="U48" s="72">
        <f t="shared" si="31"/>
        <v>171.65716009143247</v>
      </c>
      <c r="V48" s="73">
        <f t="shared" si="32"/>
        <v>1.4344609478392687</v>
      </c>
      <c r="W48" s="69">
        <f t="shared" si="33"/>
        <v>6187.208865901539</v>
      </c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N48" s="101">
        <f t="shared" si="19"/>
        <v>22395</v>
      </c>
      <c r="AO48" s="55">
        <f t="shared" si="20"/>
        <v>31.190807799442897</v>
      </c>
      <c r="AP48" s="55">
        <f t="shared" si="21"/>
        <v>90.1908077994429</v>
      </c>
      <c r="AQ48" s="102">
        <f>((AN48/'Assessed Value'!E37)*'Assessed Value'!G37)/12</f>
        <v>12.240989621333222</v>
      </c>
      <c r="AR48" s="84"/>
      <c r="AS48" s="107">
        <f>'Debt Service'!K285</f>
        <v>56888.88888888889</v>
      </c>
      <c r="AT48" s="107">
        <f t="shared" si="22"/>
        <v>79.23243577839678</v>
      </c>
      <c r="AU48" s="107">
        <f t="shared" si="23"/>
        <v>138.2324357783968</v>
      </c>
      <c r="AV48" s="107">
        <f>((AS48/'Assessed Value'!E37)*'Assessed Value'!G37)/12</f>
        <v>31.095168495560074</v>
      </c>
      <c r="AW48" s="157">
        <f>(AS48/'Assessed Value'!E37)*1000</f>
        <v>0.6663917748533539</v>
      </c>
      <c r="AX48" s="24"/>
      <c r="AY48" s="58">
        <f>(((AS48+AN48)/'Assessed Value'!E37)*'Assessed Value'!G37)/12</f>
        <v>43.336158116893294</v>
      </c>
      <c r="AZ48" s="58">
        <f t="shared" si="24"/>
        <v>169.42324357783968</v>
      </c>
      <c r="BA48" s="58">
        <f t="shared" si="34"/>
        <v>59</v>
      </c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T48"/>
      <c r="BU48"/>
      <c r="BV48"/>
      <c r="BW48"/>
    </row>
    <row r="49" spans="1:75" ht="13.5" customHeight="1">
      <c r="A49" s="9" t="s">
        <v>34</v>
      </c>
      <c r="B49" s="9"/>
      <c r="C49" s="9" t="s">
        <v>89</v>
      </c>
      <c r="D49" s="150">
        <v>4870000</v>
      </c>
      <c r="E49" s="150">
        <v>1080000</v>
      </c>
      <c r="F49" s="150">
        <v>690000</v>
      </c>
      <c r="G49" s="150">
        <v>3100000</v>
      </c>
      <c r="H49" s="10">
        <f t="shared" si="26"/>
        <v>1089450</v>
      </c>
      <c r="I49" s="5">
        <v>427329</v>
      </c>
      <c r="J49" s="5">
        <v>2421</v>
      </c>
      <c r="K49" s="151">
        <v>1701</v>
      </c>
      <c r="L49" s="151">
        <v>938</v>
      </c>
      <c r="M49" s="12">
        <f t="shared" si="27"/>
        <v>1310.1666666666665</v>
      </c>
      <c r="N49" s="23">
        <f t="shared" si="28"/>
        <v>35772.61704545454</v>
      </c>
      <c r="O49" s="23">
        <f t="shared" si="29"/>
        <v>41157</v>
      </c>
      <c r="P49" s="348">
        <f t="shared" si="35"/>
        <v>66339</v>
      </c>
      <c r="Q49" s="348">
        <v>28800</v>
      </c>
      <c r="R49" s="23">
        <f t="shared" si="30"/>
        <v>189275.47875</v>
      </c>
      <c r="S49" s="352">
        <f t="shared" si="7"/>
        <v>24.07778638213968</v>
      </c>
      <c r="T49" s="24">
        <f t="shared" si="0"/>
        <v>59</v>
      </c>
      <c r="U49" s="72">
        <f t="shared" si="31"/>
        <v>534.1333072299357</v>
      </c>
      <c r="V49" s="73">
        <f t="shared" si="32"/>
        <v>0.40768348090314394</v>
      </c>
      <c r="W49" s="69">
        <f t="shared" si="33"/>
        <v>67740.45807082452</v>
      </c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N49" s="101">
        <f t="shared" si="19"/>
        <v>92716.5</v>
      </c>
      <c r="AO49" s="55">
        <f t="shared" si="20"/>
        <v>11.794491794937032</v>
      </c>
      <c r="AP49" s="55">
        <f t="shared" si="21"/>
        <v>70.79449179493703</v>
      </c>
      <c r="AQ49" s="102">
        <f>((AN49/'Assessed Value'!E38)*'Assessed Value'!G38)/12</f>
        <v>4.237357370260941</v>
      </c>
      <c r="AR49" s="84"/>
      <c r="AS49" s="107">
        <f>'Debt Service'!K293</f>
        <v>220444.44444444444</v>
      </c>
      <c r="AT49" s="107">
        <f t="shared" si="22"/>
        <v>28.04279919150801</v>
      </c>
      <c r="AU49" s="107">
        <f t="shared" si="23"/>
        <v>87.04279919150801</v>
      </c>
      <c r="AV49" s="107">
        <f>((AS49/'Assessed Value'!E38)*'Assessed Value'!G38)/12</f>
        <v>10.074818305261148</v>
      </c>
      <c r="AW49" s="157">
        <f>(AS49/'Assessed Value'!E38)*1000</f>
        <v>0.36206474027282026</v>
      </c>
      <c r="AX49" s="24"/>
      <c r="AY49" s="58">
        <f>(((AS49+AN49)/'Assessed Value'!E38)*'Assessed Value'!G38)/12</f>
        <v>14.31217567552209</v>
      </c>
      <c r="AZ49" s="58">
        <f t="shared" si="24"/>
        <v>98.83729098644504</v>
      </c>
      <c r="BA49" s="58">
        <f t="shared" si="34"/>
        <v>59</v>
      </c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T49"/>
      <c r="BU49"/>
      <c r="BV49"/>
      <c r="BW49"/>
    </row>
    <row r="50" spans="1:53" s="373" customFormat="1" ht="13.5" customHeight="1">
      <c r="A50" s="9" t="s">
        <v>34</v>
      </c>
      <c r="B50" s="9">
        <f>VLOOKUP(C50,'Input Data'!$C$2:$D$28,2,FALSE)</f>
        <v>23</v>
      </c>
      <c r="C50" s="363" t="s">
        <v>16</v>
      </c>
      <c r="D50" s="364">
        <v>1840000</v>
      </c>
      <c r="E50" s="364">
        <v>380000</v>
      </c>
      <c r="F50" s="364">
        <v>310000</v>
      </c>
      <c r="G50" s="364">
        <v>1150000</v>
      </c>
      <c r="H50" s="364">
        <f>J50*450</f>
        <v>436950</v>
      </c>
      <c r="I50" s="365">
        <v>181696</v>
      </c>
      <c r="J50" s="365">
        <v>971</v>
      </c>
      <c r="K50" s="366">
        <v>413</v>
      </c>
      <c r="L50" s="366">
        <v>59</v>
      </c>
      <c r="M50" s="366">
        <f>(K50-L50)+(L50*7/12)</f>
        <v>388.4166666666667</v>
      </c>
      <c r="N50" s="348">
        <f>442*I50/5280</f>
        <v>15210.157575757576</v>
      </c>
      <c r="O50" s="348">
        <f>J50*17</f>
        <v>16507</v>
      </c>
      <c r="P50" s="348">
        <f>39*K50</f>
        <v>16107</v>
      </c>
      <c r="Q50" s="348">
        <v>28800</v>
      </c>
      <c r="R50" s="348">
        <f>(N50+O50+P50+Q50)*1.1</f>
        <v>84286.57333333335</v>
      </c>
      <c r="S50" s="352">
        <f>R50/12/($P$8*M50)</f>
        <v>36.16673389115355</v>
      </c>
      <c r="T50" s="65">
        <f t="shared" si="0"/>
        <v>59</v>
      </c>
      <c r="U50" s="72">
        <f t="shared" si="31"/>
        <v>237.8557775520187</v>
      </c>
      <c r="V50" s="73">
        <f>U50/M50</f>
        <v>0.6123727377438799</v>
      </c>
      <c r="W50" s="69">
        <f t="shared" si="33"/>
        <v>20082.57696655089</v>
      </c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65"/>
      <c r="AN50" s="101">
        <f>0.03*(D21-F21-H21)</f>
        <v>30583.5</v>
      </c>
      <c r="AO50" s="55">
        <f>(AN50/(M21*$P$8))/12</f>
        <v>16.4515868746638</v>
      </c>
      <c r="AP50" s="55">
        <f>T21+AO50</f>
        <v>75.4515868746638</v>
      </c>
      <c r="AQ50" s="102">
        <f>((AN50/'Assessed Value'!E12)*'Assessed Value'!G12)/12</f>
        <v>6.041573014596035</v>
      </c>
      <c r="AR50" s="84"/>
      <c r="AS50" s="107">
        <f>'Debt Service'!K149</f>
        <v>78933.33333333333</v>
      </c>
      <c r="AT50" s="107">
        <f>AS50/(12*$P$8*M21)</f>
        <v>42.460103998565536</v>
      </c>
      <c r="AU50" s="107">
        <f>T21+AT50</f>
        <v>101.46010399856553</v>
      </c>
      <c r="AV50" s="107">
        <f>((AS50/'Assessed Value'!E12)*'Assessed Value'!G12)/12</f>
        <v>15.59277050104731</v>
      </c>
      <c r="AW50" s="157">
        <f>(AS50/'Assessed Value'!E12)*1000</f>
        <v>0.9169712788718842</v>
      </c>
      <c r="AX50" s="24"/>
      <c r="AY50" s="58">
        <f>(((AS50+AN50)/'Assessed Value'!E12)*'Assessed Value'!G12)/12</f>
        <v>21.63434351564334</v>
      </c>
      <c r="AZ50" s="58">
        <f>T21+AO50+AT50</f>
        <v>117.91169087322933</v>
      </c>
      <c r="BA50" s="58">
        <f>T21</f>
        <v>59</v>
      </c>
    </row>
    <row r="51" spans="1:75" ht="13.5" customHeight="1">
      <c r="A51" s="9" t="s">
        <v>34</v>
      </c>
      <c r="B51" s="9"/>
      <c r="C51" s="9" t="s">
        <v>143</v>
      </c>
      <c r="D51" s="150">
        <v>2530000</v>
      </c>
      <c r="E51" s="150">
        <v>460000</v>
      </c>
      <c r="F51" s="150">
        <v>420000</v>
      </c>
      <c r="G51" s="150">
        <v>1650000</v>
      </c>
      <c r="H51" s="10">
        <f t="shared" si="26"/>
        <v>702450</v>
      </c>
      <c r="I51" s="5">
        <v>253480</v>
      </c>
      <c r="J51" s="5">
        <v>1561</v>
      </c>
      <c r="K51" s="151">
        <v>546</v>
      </c>
      <c r="L51" s="151">
        <v>21</v>
      </c>
      <c r="M51" s="12">
        <f t="shared" si="27"/>
        <v>537.25</v>
      </c>
      <c r="N51" s="23">
        <f t="shared" si="28"/>
        <v>21219.348484848484</v>
      </c>
      <c r="O51" s="23">
        <f t="shared" si="29"/>
        <v>26537</v>
      </c>
      <c r="P51" s="348">
        <f t="shared" si="35"/>
        <v>21294</v>
      </c>
      <c r="Q51" s="348">
        <v>28800</v>
      </c>
      <c r="R51" s="23">
        <f t="shared" si="30"/>
        <v>107635.38333333333</v>
      </c>
      <c r="S51" s="352">
        <f t="shared" si="7"/>
        <v>33.39084328628302</v>
      </c>
      <c r="T51" s="24">
        <f t="shared" si="0"/>
        <v>59</v>
      </c>
      <c r="U51" s="72">
        <f t="shared" si="31"/>
        <v>303.7458610828912</v>
      </c>
      <c r="V51" s="73">
        <f t="shared" si="32"/>
        <v>0.5653715422668986</v>
      </c>
      <c r="W51" s="69">
        <f t="shared" si="33"/>
        <v>27777.81027748414</v>
      </c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N51" s="101">
        <f t="shared" si="19"/>
        <v>42226.5</v>
      </c>
      <c r="AO51" s="55">
        <f t="shared" si="20"/>
        <v>13.099581200558399</v>
      </c>
      <c r="AP51" s="55">
        <f t="shared" si="21"/>
        <v>72.0995812005584</v>
      </c>
      <c r="AQ51" s="102">
        <f>((AN51/'Assessed Value'!E39)*'Assessed Value'!G39)/12</f>
        <v>5.7253247100434415</v>
      </c>
      <c r="AR51" s="84"/>
      <c r="AS51" s="107">
        <f>'Debt Service'!K301</f>
        <v>117333.33333333334</v>
      </c>
      <c r="AT51" s="107">
        <f t="shared" si="22"/>
        <v>36.39935887492891</v>
      </c>
      <c r="AU51" s="107">
        <f t="shared" si="23"/>
        <v>95.39935887492891</v>
      </c>
      <c r="AV51" s="107">
        <f>((AS51/'Assessed Value'!E39)*'Assessed Value'!G39)/12</f>
        <v>15.908764227324012</v>
      </c>
      <c r="AW51" s="157">
        <f>(AS51/'Assessed Value'!E39)*1000</f>
        <v>0.7844024636405615</v>
      </c>
      <c r="AX51" s="24"/>
      <c r="AY51" s="58">
        <f>(((AS51+AN51)/'Assessed Value'!E39)*'Assessed Value'!G39)/12</f>
        <v>21.63408893736745</v>
      </c>
      <c r="AZ51" s="58">
        <f t="shared" si="24"/>
        <v>108.49894007548731</v>
      </c>
      <c r="BA51" s="58">
        <f t="shared" si="34"/>
        <v>59</v>
      </c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T51"/>
      <c r="BU51"/>
      <c r="BV51"/>
      <c r="BW51"/>
    </row>
    <row r="52" spans="1:75" ht="13.5" customHeight="1">
      <c r="A52" s="9" t="s">
        <v>34</v>
      </c>
      <c r="B52" s="9"/>
      <c r="C52" s="9" t="s">
        <v>144</v>
      </c>
      <c r="D52" s="150">
        <v>4400000</v>
      </c>
      <c r="E52" s="150">
        <v>910000</v>
      </c>
      <c r="F52" s="150">
        <v>640000</v>
      </c>
      <c r="G52" s="150">
        <v>2850000</v>
      </c>
      <c r="H52" s="10">
        <f t="shared" si="26"/>
        <v>1067850</v>
      </c>
      <c r="I52" s="5">
        <v>364281</v>
      </c>
      <c r="J52" s="5">
        <v>2373</v>
      </c>
      <c r="K52" s="151">
        <v>1339</v>
      </c>
      <c r="L52" s="151">
        <v>15</v>
      </c>
      <c r="M52" s="12">
        <f t="shared" si="27"/>
        <v>1332.75</v>
      </c>
      <c r="N52" s="23">
        <f t="shared" si="28"/>
        <v>30494.735227272726</v>
      </c>
      <c r="O52" s="23">
        <f t="shared" si="29"/>
        <v>40341</v>
      </c>
      <c r="P52" s="348">
        <f t="shared" si="35"/>
        <v>52221</v>
      </c>
      <c r="Q52" s="348">
        <v>28800</v>
      </c>
      <c r="R52" s="23">
        <f t="shared" si="30"/>
        <v>167042.40875</v>
      </c>
      <c r="S52" s="352">
        <f t="shared" si="7"/>
        <v>20.889440223847934</v>
      </c>
      <c r="T52" s="24">
        <f t="shared" si="0"/>
        <v>59</v>
      </c>
      <c r="U52" s="72">
        <f t="shared" si="31"/>
        <v>471.3918296365278</v>
      </c>
      <c r="V52" s="73">
        <f t="shared" si="32"/>
        <v>0.35369861537162095</v>
      </c>
      <c r="W52" s="69">
        <f>(M52/$M$54)*$W$55</f>
        <v>68908.09985540621</v>
      </c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N52" s="101">
        <f t="shared" si="19"/>
        <v>80764.5</v>
      </c>
      <c r="AO52" s="55">
        <f t="shared" si="20"/>
        <v>10.099981241793285</v>
      </c>
      <c r="AP52" s="55">
        <f t="shared" si="21"/>
        <v>69.09998124179329</v>
      </c>
      <c r="AQ52" s="102">
        <f>((AN52/'Assessed Value'!E40)*'Assessed Value'!G40)/12</f>
        <v>4.825522105221234</v>
      </c>
      <c r="AR52" s="84"/>
      <c r="AS52" s="107">
        <f>'Debt Service'!K309</f>
        <v>202666.6666666667</v>
      </c>
      <c r="AT52" s="107">
        <f t="shared" si="22"/>
        <v>25.34442151774735</v>
      </c>
      <c r="AU52" s="107">
        <f t="shared" si="23"/>
        <v>84.34442151774735</v>
      </c>
      <c r="AV52" s="107">
        <f>((AS52/'Assessed Value'!E40)*'Assessed Value'!G40)/12</f>
        <v>12.108939942567632</v>
      </c>
      <c r="AW52" s="157">
        <f>(AS52/'Assessed Value'!E40)*1000</f>
        <v>0.4528136107322838</v>
      </c>
      <c r="AX52" s="24"/>
      <c r="AY52" s="58">
        <f>(((AS52+AN52)/'Assessed Value'!E40)*'Assessed Value'!G40)/12</f>
        <v>16.934462047788866</v>
      </c>
      <c r="AZ52" s="58">
        <f t="shared" si="24"/>
        <v>94.44440275954064</v>
      </c>
      <c r="BA52" s="58">
        <f t="shared" si="34"/>
        <v>59</v>
      </c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T52"/>
      <c r="BU52"/>
      <c r="BV52"/>
      <c r="BW52"/>
    </row>
    <row r="53" spans="1:75" ht="13.5" customHeight="1">
      <c r="A53" s="9" t="s">
        <v>34</v>
      </c>
      <c r="B53" s="9"/>
      <c r="C53" s="9" t="s">
        <v>145</v>
      </c>
      <c r="D53" s="10">
        <v>1760000</v>
      </c>
      <c r="E53" s="10">
        <v>350000</v>
      </c>
      <c r="F53" s="10">
        <v>300000</v>
      </c>
      <c r="G53" s="10">
        <v>1110000</v>
      </c>
      <c r="H53" s="10">
        <f t="shared" si="26"/>
        <v>330750</v>
      </c>
      <c r="I53" s="11">
        <v>170912</v>
      </c>
      <c r="J53" s="11">
        <v>735</v>
      </c>
      <c r="K53" s="12">
        <v>357</v>
      </c>
      <c r="L53" s="12">
        <v>39</v>
      </c>
      <c r="M53" s="12">
        <f t="shared" si="27"/>
        <v>340.75</v>
      </c>
      <c r="N53" s="189">
        <f t="shared" si="28"/>
        <v>14307.406060606061</v>
      </c>
      <c r="O53" s="189">
        <f t="shared" si="29"/>
        <v>12495</v>
      </c>
      <c r="P53" s="349">
        <f t="shared" si="35"/>
        <v>13923</v>
      </c>
      <c r="Q53" s="349">
        <v>28800</v>
      </c>
      <c r="R53" s="189">
        <f t="shared" si="30"/>
        <v>76477.94666666668</v>
      </c>
      <c r="S53" s="353">
        <f t="shared" si="7"/>
        <v>37.40667481861907</v>
      </c>
      <c r="T53" s="190">
        <f t="shared" si="0"/>
        <v>59</v>
      </c>
      <c r="U53" s="191">
        <f t="shared" si="31"/>
        <v>215.81991947924902</v>
      </c>
      <c r="V53" s="192">
        <f t="shared" si="32"/>
        <v>0.633367335228904</v>
      </c>
      <c r="W53" s="69">
        <f>(M53/$M$54)*$W$55</f>
        <v>17618.034159241917</v>
      </c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N53" s="101">
        <f t="shared" si="19"/>
        <v>33877.5</v>
      </c>
      <c r="AO53" s="55">
        <f t="shared" si="20"/>
        <v>16.57006603081438</v>
      </c>
      <c r="AP53" s="55">
        <f t="shared" si="21"/>
        <v>75.57006603081439</v>
      </c>
      <c r="AQ53" s="102">
        <f>((AN53/'Assessed Value'!E41)*'Assessed Value'!G41)/12</f>
        <v>7.506969943917118</v>
      </c>
      <c r="AR53" s="84"/>
      <c r="AS53" s="107">
        <f>'Debt Service'!K317</f>
        <v>78933.33333333333</v>
      </c>
      <c r="AT53" s="107">
        <f t="shared" si="22"/>
        <v>38.60764653134425</v>
      </c>
      <c r="AU53" s="107">
        <f t="shared" si="23"/>
        <v>97.60764653134424</v>
      </c>
      <c r="AV53" s="107">
        <f>((AS53/'Assessed Value'!E41)*'Assessed Value'!G41)/12</f>
        <v>17.490964826404678</v>
      </c>
      <c r="AW53" s="157">
        <f>(AS53/'Assessed Value'!E41)*1000</f>
        <v>1.1801500907708855</v>
      </c>
      <c r="AX53" s="24"/>
      <c r="AY53" s="58">
        <f>(((AS53+AN53)/'Assessed Value'!E41)*'Assessed Value'!G41)/12</f>
        <v>24.997934770321795</v>
      </c>
      <c r="AZ53" s="58">
        <f t="shared" si="24"/>
        <v>114.17771256215863</v>
      </c>
      <c r="BA53" s="58">
        <f t="shared" si="34"/>
        <v>59</v>
      </c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T53"/>
      <c r="BU53"/>
      <c r="BV53"/>
      <c r="BW53"/>
    </row>
    <row r="54" spans="1:53" s="279" customFormat="1" ht="15">
      <c r="A54" s="310"/>
      <c r="B54" s="310"/>
      <c r="C54" s="407" t="s">
        <v>185</v>
      </c>
      <c r="D54" s="271">
        <f>SUM(D35:D42)</f>
        <v>24440000</v>
      </c>
      <c r="E54" s="405">
        <f>SUM(E35:E53)</f>
        <v>9390000</v>
      </c>
      <c r="F54" s="405">
        <f aca="true" t="shared" si="36" ref="F54:L54">SUM(F35:F53)</f>
        <v>7780000</v>
      </c>
      <c r="G54" s="405">
        <f t="shared" si="36"/>
        <v>32100000</v>
      </c>
      <c r="H54" s="405">
        <f t="shared" si="36"/>
        <v>11538000</v>
      </c>
      <c r="I54" s="405">
        <f t="shared" si="36"/>
        <v>4647540</v>
      </c>
      <c r="J54" s="405">
        <f t="shared" si="36"/>
        <v>25640</v>
      </c>
      <c r="K54" s="405">
        <f t="shared" si="36"/>
        <v>11328</v>
      </c>
      <c r="L54" s="405">
        <f t="shared" si="36"/>
        <v>3348</v>
      </c>
      <c r="M54" s="406">
        <f t="shared" si="27"/>
        <v>9933</v>
      </c>
      <c r="N54" s="271">
        <f>SUM(N35:N53)</f>
        <v>389055.4318181819</v>
      </c>
      <c r="O54" s="271">
        <f>SUM(O35:O53)</f>
        <v>435880</v>
      </c>
      <c r="P54" s="271">
        <f>SUM(P35:P53)</f>
        <v>441792</v>
      </c>
      <c r="Q54" s="271">
        <f>SUM(Q35:Q53)</f>
        <v>547200</v>
      </c>
      <c r="R54" s="271">
        <f>SUM(R35:R53)</f>
        <v>1995320.1749999998</v>
      </c>
      <c r="S54" s="354">
        <f>R55/12/($P$8*M54)</f>
        <v>20.91271745696164</v>
      </c>
      <c r="T54" s="311">
        <f t="shared" si="0"/>
        <v>59</v>
      </c>
      <c r="U54" s="271">
        <f>SUM(U35:U53)</f>
        <v>5630.771461225873</v>
      </c>
      <c r="W54" s="404">
        <f>SUM(W35:W53)</f>
        <v>513572.80499999993</v>
      </c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311"/>
      <c r="AN54" s="312">
        <f t="shared" si="19"/>
        <v>153660</v>
      </c>
      <c r="AO54" s="313">
        <f t="shared" si="20"/>
        <v>2.578274438739555</v>
      </c>
      <c r="AP54" s="313">
        <f t="shared" si="21"/>
        <v>61.578274438739555</v>
      </c>
      <c r="AQ54" s="314">
        <f>((AN54/'Assessed Value'!E42)*'Assessed Value'!G42)/12</f>
        <v>1.251500655120978</v>
      </c>
      <c r="AR54" s="315"/>
      <c r="AS54" s="316">
        <f>SUM(AS35:AS53)</f>
        <v>2191430.5555555555</v>
      </c>
      <c r="AT54" s="316">
        <f t="shared" si="22"/>
        <v>36.770202952373495</v>
      </c>
      <c r="AU54" s="316">
        <f t="shared" si="23"/>
        <v>95.7702029523735</v>
      </c>
      <c r="AV54" s="316">
        <f>((AS54/'Assessed Value'!E42)*'Assessed Value'!G42)/12</f>
        <v>17.84834554164979</v>
      </c>
      <c r="AW54" s="317">
        <f>(AS54/'Assessed Value'!E42)*1000</f>
        <v>0.6424097095015181</v>
      </c>
      <c r="AX54" s="275"/>
      <c r="AY54" s="318">
        <f>(((AS54+AN54)/'Assessed Value'!E42)*'Assessed Value'!G42)/12</f>
        <v>19.099846196770766</v>
      </c>
      <c r="AZ54" s="318">
        <f t="shared" si="24"/>
        <v>98.34847739111305</v>
      </c>
      <c r="BA54" s="318">
        <f>T54</f>
        <v>59</v>
      </c>
    </row>
    <row r="55" spans="1:53" s="279" customFormat="1" ht="15">
      <c r="A55" s="310"/>
      <c r="B55" s="310"/>
      <c r="C55" s="270" t="s">
        <v>177</v>
      </c>
      <c r="D55" s="271"/>
      <c r="E55" s="271"/>
      <c r="F55" s="271"/>
      <c r="G55" s="271"/>
      <c r="H55" s="271"/>
      <c r="I55" s="272"/>
      <c r="J55" s="272"/>
      <c r="K55" s="272"/>
      <c r="L55" s="272"/>
      <c r="M55" s="273"/>
      <c r="N55" s="271"/>
      <c r="O55" s="271"/>
      <c r="P55" s="329">
        <f>0.7*SUM(P35:P42)</f>
        <v>152115.59999999998</v>
      </c>
      <c r="Q55" s="329">
        <v>156000</v>
      </c>
      <c r="R55" s="326">
        <f>(N54+O54+P55+Q55)*1.1</f>
        <v>1246356.135</v>
      </c>
      <c r="S55" s="354"/>
      <c r="T55" s="311"/>
      <c r="U55" s="330"/>
      <c r="V55" s="331">
        <f>U54/M54</f>
        <v>0.5668752100297869</v>
      </c>
      <c r="W55" s="325">
        <f>IF(M54*$P$8&lt;=$N$66,M54*$P$8*($S$7*$T$7+S$8*$T$8+$S$6*$T$6-(1-$S$6)*$O$66-$S$6*$P$66)*12-R55,IF(M54*$P$8&lt;=$N$67,M54*$P$8*($S$7*$T$7+S$8*$T$8+$S$6*$T$6-(1-$S$6)*$O$67-$S$6*$P$67)*12-R55,IF(M54*$P$8&lt;=$N$68,M54*$P$8*($S$7*$T$7+S$8*$T$8+$S$6*$T$6-(1-$S$6)*$O$68-$S$6*$P$68)*12-R55,IF(M54*$P$8&lt;=$N$69,M54*$P$8*($S$7*$T$7+S$8*$T$8+$S$6*$T$6-(1-$S$6)*$O$69-$S$6*$P$69)*12-R55))))</f>
        <v>513572.80499999993</v>
      </c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311"/>
      <c r="AN55" s="312"/>
      <c r="AO55" s="313"/>
      <c r="AP55" s="313"/>
      <c r="AQ55" s="314"/>
      <c r="AR55" s="315"/>
      <c r="AS55" s="316"/>
      <c r="AT55" s="316"/>
      <c r="AU55" s="316"/>
      <c r="AV55" s="316"/>
      <c r="AW55" s="317"/>
      <c r="AX55" s="275"/>
      <c r="AY55" s="318"/>
      <c r="AZ55" s="318"/>
      <c r="BA55" s="318"/>
    </row>
    <row r="56" spans="1:53" s="279" customFormat="1" ht="15">
      <c r="A56" s="310"/>
      <c r="B56" s="310"/>
      <c r="C56" s="270"/>
      <c r="D56" s="271"/>
      <c r="E56" s="271"/>
      <c r="F56" s="271"/>
      <c r="G56" s="271"/>
      <c r="H56" s="271"/>
      <c r="I56" s="272"/>
      <c r="J56" s="272"/>
      <c r="K56" s="272"/>
      <c r="L56" s="272"/>
      <c r="M56" s="273"/>
      <c r="N56" s="271"/>
      <c r="O56" s="271"/>
      <c r="P56" s="329"/>
      <c r="Q56" s="329"/>
      <c r="R56" s="326"/>
      <c r="S56" s="354"/>
      <c r="T56" s="311"/>
      <c r="U56" s="330"/>
      <c r="V56" s="331"/>
      <c r="W56" s="325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8"/>
      <c r="AJ56" s="278"/>
      <c r="AK56" s="278"/>
      <c r="AL56" s="278"/>
      <c r="AM56" s="311"/>
      <c r="AN56" s="312"/>
      <c r="AO56" s="313"/>
      <c r="AP56" s="313"/>
      <c r="AQ56" s="314"/>
      <c r="AR56" s="315"/>
      <c r="AS56" s="316"/>
      <c r="AT56" s="316"/>
      <c r="AU56" s="316"/>
      <c r="AV56" s="316"/>
      <c r="AW56" s="317"/>
      <c r="AX56" s="275"/>
      <c r="AY56" s="318"/>
      <c r="AZ56" s="318"/>
      <c r="BA56" s="318"/>
    </row>
    <row r="57" spans="1:53" s="2" customFormat="1" ht="14.25" customHeight="1">
      <c r="A57" s="13"/>
      <c r="B57" s="13"/>
      <c r="C57" s="13" t="s">
        <v>40</v>
      </c>
      <c r="D57" s="15">
        <f aca="true" t="shared" si="37" ref="D57:L57">D27+D32</f>
        <v>117800000</v>
      </c>
      <c r="E57" s="15">
        <f t="shared" si="37"/>
        <v>8710000</v>
      </c>
      <c r="F57" s="15">
        <f t="shared" si="37"/>
        <v>6960000</v>
      </c>
      <c r="G57" s="15">
        <f t="shared" si="37"/>
        <v>26670000</v>
      </c>
      <c r="H57" s="15">
        <f t="shared" si="37"/>
        <v>10950300</v>
      </c>
      <c r="I57" s="19">
        <f t="shared" si="37"/>
        <v>4483832</v>
      </c>
      <c r="J57" s="16">
        <f t="shared" si="37"/>
        <v>24334</v>
      </c>
      <c r="K57" s="16">
        <f t="shared" si="37"/>
        <v>10077</v>
      </c>
      <c r="L57" s="16">
        <f t="shared" si="37"/>
        <v>1944</v>
      </c>
      <c r="M57" s="14">
        <f>(K57-L57)+(L57*7/12)</f>
        <v>9267</v>
      </c>
      <c r="N57" s="15">
        <f>N27+N32</f>
        <v>375351.0878787879</v>
      </c>
      <c r="O57" s="15">
        <f>O27+O32</f>
        <v>413678</v>
      </c>
      <c r="P57" s="350">
        <f>P28+P33</f>
        <v>275102.1</v>
      </c>
      <c r="Q57" s="350">
        <f>Q28+Q33</f>
        <v>213600</v>
      </c>
      <c r="R57" s="25">
        <f>(N57+O57+P57+Q57)*1.1</f>
        <v>1405504.3066666669</v>
      </c>
      <c r="S57" s="355">
        <f t="shared" si="7"/>
        <v>25.27794515784804</v>
      </c>
      <c r="T57" s="6">
        <f t="shared" si="0"/>
        <v>59</v>
      </c>
      <c r="U57" s="74">
        <f>R57/((T57-(1-$S$6)*$O$66-$S$6*$P$66)*12)</f>
        <v>3966.3176054483206</v>
      </c>
      <c r="V57" s="75">
        <f>U57/M57</f>
        <v>0.4280044896350837</v>
      </c>
      <c r="W57" s="82">
        <f>IF(M57*$P$8&lt;=$N$66,M57*$P$8*($S$7*$T$7+S$8*$T$8+$S$6*$T$6-(1-$S$6)*$O$66-$S$6*$P$66)*12-R57,IF(M57*$P$8&lt;=$N$67,M57*$P$8*($S$7*$T$7+S$8*$T$8+$S$6*$T$6-(1-$S$6)*$O$67-$S$6*$P$67)*12-R57,IF(M57*$P$8&lt;=$N$68,M57*$P$8*($S$7*$T$7+S$8*$T$8+$S$6*$T$6-(1-$S$6)*$O$68-$S$6*$P$68)*12-R57,IF(M57*$P$8&lt;=$N$69,M57*$P$8*($S$7*$T$7+S$8*$T$8+$S$6*$T$6-(1-$S$6)*$O$69-$S$6*$P$69)*12-R57))))</f>
        <v>236422.75333333318</v>
      </c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93"/>
      <c r="AN57" s="103">
        <f t="shared" si="19"/>
        <v>2996691</v>
      </c>
      <c r="AO57" s="104">
        <f t="shared" si="20"/>
        <v>53.895381461098516</v>
      </c>
      <c r="AP57" s="104">
        <f t="shared" si="21"/>
        <v>112.89538146109851</v>
      </c>
      <c r="AQ57" s="118">
        <f>(AN57/('Assessed Value'!E17+'Assessed Value'!E25))*('Assessed Value'!F17+'Assessed Value'!F25)/('Assessed Value'!D17+'Assessed Value'!D25)/12</f>
        <v>17.13612850178907</v>
      </c>
      <c r="AR57" s="119"/>
      <c r="AS57" s="109">
        <f>AS26+AS32</f>
        <v>1718755.5555555555</v>
      </c>
      <c r="AT57" s="108">
        <f t="shared" si="22"/>
        <v>30.911757770503858</v>
      </c>
      <c r="AU57" s="108">
        <f t="shared" si="23"/>
        <v>89.91175777050385</v>
      </c>
      <c r="AV57" s="108">
        <f>(AS57/('Assessed Value'!E17+'Assessed Value'!E25))*('Assessed Value'!F17+'Assessed Value'!F25)/('Assessed Value'!D17+'Assessed Value'!D25)/12</f>
        <v>9.828446130469862</v>
      </c>
      <c r="AW57" s="158">
        <f>(AS57/'Assessed Value'!E43)*1000</f>
        <v>0.4719174091711709</v>
      </c>
      <c r="AX57" s="6"/>
      <c r="AY57" s="114">
        <f>((AS57+AN57)/('Assessed Value'!E17+'Assessed Value'!E25))*('Assessed Value'!F17+'Assessed Value'!F25)/('Assessed Value'!D17+'Assessed Value'!D25)/12</f>
        <v>26.96457463225893</v>
      </c>
      <c r="AZ57" s="114">
        <f t="shared" si="24"/>
        <v>143.80713923160238</v>
      </c>
      <c r="BA57" s="114">
        <f>T57</f>
        <v>59</v>
      </c>
    </row>
    <row r="58" spans="1:53" s="2" customFormat="1" ht="14.25" customHeight="1">
      <c r="A58" s="13"/>
      <c r="B58" s="13"/>
      <c r="C58" s="13" t="s">
        <v>41</v>
      </c>
      <c r="D58" s="15">
        <f aca="true" t="shared" si="38" ref="D58:L58">D27+D32+D54</f>
        <v>142240000</v>
      </c>
      <c r="E58" s="15">
        <f t="shared" si="38"/>
        <v>18100000</v>
      </c>
      <c r="F58" s="15">
        <f t="shared" si="38"/>
        <v>14740000</v>
      </c>
      <c r="G58" s="15">
        <f t="shared" si="38"/>
        <v>58770000</v>
      </c>
      <c r="H58" s="15">
        <f t="shared" si="38"/>
        <v>22488300</v>
      </c>
      <c r="I58" s="19">
        <f t="shared" si="38"/>
        <v>9131372</v>
      </c>
      <c r="J58" s="16">
        <f t="shared" si="38"/>
        <v>49974</v>
      </c>
      <c r="K58" s="16">
        <f t="shared" si="38"/>
        <v>21405</v>
      </c>
      <c r="L58" s="16">
        <f t="shared" si="38"/>
        <v>5292</v>
      </c>
      <c r="M58" s="14">
        <f>(K58-L58)+(L58*7/12)</f>
        <v>19200</v>
      </c>
      <c r="N58" s="15">
        <f>N27+N32+N54</f>
        <v>764406.5196969698</v>
      </c>
      <c r="O58" s="15">
        <f>O27+O32+O54</f>
        <v>849558</v>
      </c>
      <c r="P58" s="350">
        <f>P28+P33+P55</f>
        <v>427217.69999999995</v>
      </c>
      <c r="Q58" s="350">
        <f>Q28+Q33+Q55</f>
        <v>369600</v>
      </c>
      <c r="R58" s="25">
        <f>(N58+O58+P58+Q58)*1.1</f>
        <v>2651860.441666667</v>
      </c>
      <c r="S58" s="355">
        <f t="shared" si="7"/>
        <v>23.019621889467597</v>
      </c>
      <c r="T58" s="6">
        <f t="shared" si="0"/>
        <v>59</v>
      </c>
      <c r="U58" s="74">
        <f>R58/((T58-(1-$S$6)*$O$66-$S$6*$P$66)*12)</f>
        <v>7483.520830981676</v>
      </c>
      <c r="V58" s="75">
        <f>U58/M58</f>
        <v>0.38976670994696233</v>
      </c>
      <c r="W58" s="82">
        <f>IF(M58*$P$8&lt;=$N$66,M58*$P$8*($S$7*$T$7+S$8*$T$8+$S$6*$T$6-(1-$S$6)*$O$66-$S$6*$P$66)*12-R58,IF(M58*$P$8&lt;=$N$67,M58*$P$8*($S$7*$T$7+S$8*$T$8+$S$6*$T$6-(1-$S$6)*$O$67-$S$6*$P$67)*12-R58,IF(M58*$P$8&lt;=$N$68,M58*$P$8*($S$7*$T$7+S$8*$T$8+$S$6*$T$6-(1-$S$6)*$O$68-$S$6*$P$68)*12-R58,IF(M58*$P$8&lt;=$N$69,M58*$P$8*($S$7*$T$7+S$8*$T$8+$S$6*$T$6-(1-$S$6)*$O$69-$S$6*$P$69)*12-R58))))</f>
        <v>1048363.558333334</v>
      </c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93"/>
      <c r="AN58" s="103">
        <f t="shared" si="19"/>
        <v>3150351</v>
      </c>
      <c r="AO58" s="104">
        <f t="shared" si="20"/>
        <v>27.346796875</v>
      </c>
      <c r="AP58" s="104">
        <f t="shared" si="21"/>
        <v>86.346796875</v>
      </c>
      <c r="AQ58" s="118">
        <f>(AN58/('Assessed Value'!E17+'Assessed Value'!E25+'Assessed Value'!E42))*('Assessed Value'!F17+'Assessed Value'!F25+'Assessed Value'!F42)/('Assessed Value'!D17+'Assessed Value'!D25+'Assessed Value'!D42)/12</f>
        <v>10.64030574673289</v>
      </c>
      <c r="AR58" s="119"/>
      <c r="AS58" s="109">
        <f>AS26+AS32+AS54</f>
        <v>3910186.111111111</v>
      </c>
      <c r="AT58" s="108">
        <f t="shared" si="22"/>
        <v>33.94258777006173</v>
      </c>
      <c r="AU58" s="108">
        <f t="shared" si="23"/>
        <v>92.94258777006172</v>
      </c>
      <c r="AV58" s="108">
        <f>(AS58/('Assessed Value'!E17+'Assessed Value'!E25+'Assessed Value'!E42))*('Assessed Value'!F17+'Assessed Value'!F25+'Assessed Value'!F42)/('Assessed Value'!D17+'Assessed Value'!D25+'Assessed Value'!D42)/12</f>
        <v>13.20664768746425</v>
      </c>
      <c r="AW58" s="158">
        <f>(AS58/'Assessed Value'!E44)*1000</f>
        <v>0.5543740974670565</v>
      </c>
      <c r="AX58" s="6"/>
      <c r="AY58" s="114">
        <f>((AS58+AN58)/('Assessed Value'!E17+'Assessed Value'!E25+'Assessed Value'!E42))*('Assessed Value'!F17+'Assessed Value'!F25+'Assessed Value'!F42)/('Assessed Value'!D17+'Assessed Value'!D25+'Assessed Value'!D42)/12</f>
        <v>23.846953434197143</v>
      </c>
      <c r="AZ58" s="114">
        <f t="shared" si="24"/>
        <v>120.28938464506172</v>
      </c>
      <c r="BA58" s="114">
        <f>T58</f>
        <v>59</v>
      </c>
    </row>
    <row r="59" spans="3:75" ht="14.25" customHeight="1">
      <c r="C59" s="2"/>
      <c r="D59" s="3"/>
      <c r="E59" s="3"/>
      <c r="F59" s="3"/>
      <c r="G59" s="3"/>
      <c r="H59" s="3"/>
      <c r="I59" s="20"/>
      <c r="J59" s="4"/>
      <c r="K59" s="4"/>
      <c r="L59" s="4"/>
      <c r="M59" s="4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O59" s="41"/>
      <c r="AP59" s="24"/>
      <c r="AQ59" s="84"/>
      <c r="AR59" s="84"/>
      <c r="AS59" s="41"/>
      <c r="AT59" s="24"/>
      <c r="AU59" s="24"/>
      <c r="AV59" s="24"/>
      <c r="AW59" s="152"/>
      <c r="AX59" s="24"/>
      <c r="AY59" s="24"/>
      <c r="AZ59" s="41"/>
      <c r="BA59" s="41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T59"/>
      <c r="BU59"/>
      <c r="BV59"/>
      <c r="BW59"/>
    </row>
    <row r="60" spans="3:75" ht="14.25" customHeight="1">
      <c r="C60" s="2"/>
      <c r="D60" s="3"/>
      <c r="E60" s="3"/>
      <c r="F60" s="3"/>
      <c r="G60" s="3"/>
      <c r="H60" s="3"/>
      <c r="I60" s="20"/>
      <c r="J60" s="4"/>
      <c r="K60" s="4"/>
      <c r="L60" s="4"/>
      <c r="M60" s="4"/>
      <c r="U60" s="1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O60" s="1"/>
      <c r="AP60"/>
      <c r="AS60" s="1"/>
      <c r="AV60"/>
      <c r="AX60"/>
      <c r="AY60"/>
      <c r="AZ60"/>
      <c r="BB60" s="41"/>
      <c r="BC60" s="24"/>
      <c r="BD60" s="24"/>
      <c r="BE60" s="24"/>
      <c r="BF60" s="41"/>
      <c r="BG60" s="41"/>
      <c r="BH60" s="41"/>
      <c r="BI60" s="26"/>
      <c r="BJ60" s="26"/>
      <c r="BK60" s="26"/>
      <c r="BU60"/>
      <c r="BV60"/>
      <c r="BW60"/>
    </row>
    <row r="61" spans="71:76" ht="13.5" customHeight="1">
      <c r="BS61" s="26"/>
      <c r="BT61"/>
      <c r="BU61" s="1"/>
      <c r="BX61" s="26"/>
    </row>
    <row r="62" spans="3:9" ht="13.5" customHeight="1">
      <c r="C62" s="395"/>
      <c r="D62" s="395"/>
      <c r="E62" s="395"/>
      <c r="F62" s="395"/>
      <c r="G62" s="395"/>
      <c r="H62" s="395"/>
      <c r="I62" s="395"/>
    </row>
    <row r="63" spans="3:9" ht="13.5" customHeight="1">
      <c r="C63" s="395"/>
      <c r="D63" s="395"/>
      <c r="E63" s="395"/>
      <c r="F63" s="395"/>
      <c r="G63" s="395"/>
      <c r="H63" s="395"/>
      <c r="I63" s="395"/>
    </row>
    <row r="64" spans="3:9" ht="13.5" customHeight="1">
      <c r="C64" s="395"/>
      <c r="D64" s="395"/>
      <c r="E64" s="395"/>
      <c r="F64" s="395"/>
      <c r="G64" s="395"/>
      <c r="H64" s="395"/>
      <c r="I64" s="395"/>
    </row>
    <row r="65" ht="13.5" customHeight="1"/>
    <row r="66" spans="14:16" ht="0.75" customHeight="1">
      <c r="N66" s="159">
        <v>5000</v>
      </c>
      <c r="O66" s="160">
        <v>29.47</v>
      </c>
      <c r="P66" s="160">
        <v>40.57</v>
      </c>
    </row>
    <row r="67" spans="14:16" ht="14.25" customHeight="1" hidden="1">
      <c r="N67" s="159">
        <v>10000</v>
      </c>
      <c r="O67" s="160">
        <v>26.88</v>
      </c>
      <c r="P67" s="160">
        <v>37.48</v>
      </c>
    </row>
    <row r="68" spans="14:16" ht="14.25" customHeight="1" hidden="1">
      <c r="N68" s="159">
        <v>15000</v>
      </c>
      <c r="O68" s="160">
        <v>25.24</v>
      </c>
      <c r="P68" s="160">
        <v>35.34</v>
      </c>
    </row>
    <row r="69" spans="14:16" ht="14.25" customHeight="1" hidden="1">
      <c r="N69" s="159">
        <v>20000</v>
      </c>
      <c r="O69" s="160">
        <v>22.65</v>
      </c>
      <c r="P69" s="160">
        <v>32.25</v>
      </c>
    </row>
  </sheetData>
  <sheetProtection selectLockedCells="1" selectUnlockedCells="1"/>
  <mergeCells count="7">
    <mergeCell ref="BE2:BG2"/>
    <mergeCell ref="AN9:AQ9"/>
    <mergeCell ref="AS9:AV9"/>
    <mergeCell ref="C62:I62"/>
    <mergeCell ref="C63:I63"/>
    <mergeCell ref="C64:I64"/>
    <mergeCell ref="R4:T4"/>
  </mergeCells>
  <printOptions horizontalCentered="1"/>
  <pageMargins left="0.25" right="0.25" top="0.25" bottom="0.25" header="0.3" footer="0.3"/>
  <pageSetup fitToHeight="1" fitToWidth="1" orientation="portrait" scale="8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69"/>
  <sheetViews>
    <sheetView tabSelected="1" zoomScale="125" zoomScaleNormal="125" zoomScalePageLayoutView="0" workbookViewId="0" topLeftCell="A35">
      <selection activeCell="U58" sqref="U58:Y58"/>
    </sheetView>
  </sheetViews>
  <sheetFormatPr defaultColWidth="11.421875" defaultRowHeight="14.25" customHeight="1"/>
  <cols>
    <col min="1" max="1" width="2.421875" style="0" customWidth="1"/>
    <col min="2" max="2" width="2.8515625" style="0" hidden="1" customWidth="1"/>
    <col min="3" max="3" width="11.57421875" style="0" customWidth="1"/>
    <col min="4" max="4" width="0.42578125" style="0" hidden="1" customWidth="1"/>
    <col min="5" max="5" width="11.421875" style="0" hidden="1" customWidth="1"/>
    <col min="6" max="6" width="10.00390625" style="0" hidden="1" customWidth="1"/>
    <col min="7" max="8" width="10.421875" style="0" hidden="1" customWidth="1"/>
    <col min="9" max="9" width="9.57421875" style="1" hidden="1" customWidth="1"/>
    <col min="10" max="11" width="6.7109375" style="0" hidden="1" customWidth="1"/>
    <col min="12" max="13" width="9.421875" style="0" hidden="1" customWidth="1"/>
    <col min="14" max="15" width="8.421875" style="26" hidden="1" customWidth="1"/>
    <col min="16" max="16" width="10.00390625" style="26" hidden="1" customWidth="1"/>
    <col min="17" max="17" width="8.421875" style="26" hidden="1" customWidth="1"/>
    <col min="18" max="18" width="9.28125" style="26" hidden="1" customWidth="1"/>
    <col min="19" max="19" width="7.421875" style="26" hidden="1" customWidth="1"/>
    <col min="20" max="20" width="7.7109375" style="26" hidden="1" customWidth="1"/>
    <col min="21" max="21" width="7.421875" style="26" customWidth="1"/>
    <col min="22" max="22" width="7.7109375" style="26" customWidth="1"/>
    <col min="23" max="23" width="10.8515625" style="26" customWidth="1"/>
    <col min="24" max="24" width="0.85546875" style="65" customWidth="1"/>
    <col min="25" max="25" width="9.28125" style="26" customWidth="1"/>
    <col min="26" max="26" width="7.421875" style="27" customWidth="1"/>
    <col min="27" max="27" width="8.28125" style="1" customWidth="1"/>
    <col min="28" max="28" width="10.00390625" style="43" customWidth="1"/>
    <col min="29" max="29" width="0.85546875" style="43" customWidth="1"/>
    <col min="30" max="30" width="9.421875" style="27" customWidth="1"/>
    <col min="31" max="31" width="7.28125" style="27" customWidth="1"/>
    <col min="32" max="32" width="8.421875" style="27" customWidth="1"/>
    <col min="33" max="33" width="8.7109375" style="26" customWidth="1"/>
    <col min="34" max="34" width="8.7109375" style="154" customWidth="1"/>
    <col min="35" max="35" width="0.85546875" style="26" customWidth="1"/>
    <col min="36" max="36" width="10.00390625" style="1" customWidth="1"/>
    <col min="37" max="37" width="8.421875" style="27" customWidth="1"/>
    <col min="38" max="38" width="7.8515625" style="0" customWidth="1"/>
    <col min="39" max="39" width="7.140625" style="0" customWidth="1"/>
    <col min="40" max="41" width="10.28125" style="0" customWidth="1"/>
    <col min="42" max="42" width="13.421875" style="41" bestFit="1" customWidth="1"/>
    <col min="43" max="43" width="9.28125" style="24" bestFit="1" customWidth="1"/>
    <col min="44" max="44" width="6.00390625" style="1" hidden="1" customWidth="1"/>
    <col min="45" max="45" width="7.421875" style="27" hidden="1" customWidth="1"/>
    <col min="46" max="46" width="10.28125" style="54" hidden="1" customWidth="1"/>
    <col min="47" max="47" width="9.421875" style="24" hidden="1" customWidth="1"/>
    <col min="48" max="49" width="7.7109375" style="24" customWidth="1"/>
    <col min="50" max="51" width="8.8515625" style="41" customWidth="1"/>
    <col min="52" max="52" width="8.421875" style="41" customWidth="1"/>
    <col min="53" max="56" width="11.421875" style="26" customWidth="1"/>
    <col min="57" max="57" width="12.421875" style="26" bestFit="1" customWidth="1"/>
    <col min="58" max="58" width="12.421875" style="26" customWidth="1"/>
    <col min="59" max="59" width="11.421875" style="26" customWidth="1"/>
    <col min="60" max="60" width="11.421875" style="0" customWidth="1"/>
    <col min="61" max="61" width="11.421875" style="1" customWidth="1"/>
    <col min="62" max="64" width="11.421875" style="26" customWidth="1"/>
  </cols>
  <sheetData>
    <row r="1" spans="1:47" ht="24.75" customHeight="1">
      <c r="A1" s="320" t="s">
        <v>117</v>
      </c>
      <c r="B1" s="321"/>
      <c r="C1" s="321"/>
      <c r="D1" s="321"/>
      <c r="E1" s="321"/>
      <c r="F1" s="321"/>
      <c r="G1" s="321"/>
      <c r="H1" s="321"/>
      <c r="I1" s="322"/>
      <c r="J1" s="321"/>
      <c r="K1" s="321"/>
      <c r="L1" s="321"/>
      <c r="M1" s="321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4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R1" s="291"/>
      <c r="AS1" s="292"/>
      <c r="AT1" s="293"/>
      <c r="AU1" s="294"/>
    </row>
    <row r="2" spans="9:68" ht="19.5" customHeight="1" hidden="1">
      <c r="I2"/>
      <c r="L2" s="1"/>
      <c r="N2"/>
      <c r="O2"/>
      <c r="Q2" s="24"/>
      <c r="U2" s="170" t="s">
        <v>99</v>
      </c>
      <c r="V2" s="170"/>
      <c r="W2" s="166"/>
      <c r="X2" s="165"/>
      <c r="Y2" s="166"/>
      <c r="AG2" s="24"/>
      <c r="AH2" s="152"/>
      <c r="AI2" s="24"/>
      <c r="AJ2" s="27"/>
      <c r="AL2" s="26"/>
      <c r="AM2" s="1"/>
      <c r="AN2" s="1"/>
      <c r="AO2" s="27"/>
      <c r="AP2"/>
      <c r="AQ2"/>
      <c r="AR2" s="306" t="s">
        <v>179</v>
      </c>
      <c r="AS2" s="304"/>
      <c r="AT2" s="304"/>
      <c r="AU2" s="304"/>
      <c r="AV2"/>
      <c r="AW2"/>
      <c r="AY2" s="24"/>
      <c r="AZ2" s="24"/>
      <c r="BA2" s="24"/>
      <c r="BB2" s="41"/>
      <c r="BC2" s="41"/>
      <c r="BD2" s="41"/>
      <c r="BH2" s="26"/>
      <c r="BI2" s="26"/>
      <c r="BL2"/>
      <c r="BM2" s="1"/>
      <c r="BN2" s="26"/>
      <c r="BO2" s="26"/>
      <c r="BP2" s="26"/>
    </row>
    <row r="3" spans="15:57" s="46" customFormat="1" ht="19.5" customHeight="1" hidden="1">
      <c r="O3" s="161"/>
      <c r="P3" s="162"/>
      <c r="U3" s="71" t="s">
        <v>157</v>
      </c>
      <c r="V3" s="71" t="s">
        <v>100</v>
      </c>
      <c r="W3" s="71" t="s">
        <v>104</v>
      </c>
      <c r="X3" s="168"/>
      <c r="AC3" s="42"/>
      <c r="AH3" s="153"/>
      <c r="AI3" s="49"/>
      <c r="AJ3" s="50"/>
      <c r="AK3" s="50"/>
      <c r="AL3" s="50"/>
      <c r="AM3" s="49"/>
      <c r="AN3" s="49"/>
      <c r="AO3" s="49"/>
      <c r="AP3" s="48"/>
      <c r="AQ3" s="48"/>
      <c r="AR3" s="77" t="s">
        <v>158</v>
      </c>
      <c r="AS3" s="77" t="s">
        <v>100</v>
      </c>
      <c r="AT3" s="77" t="s">
        <v>104</v>
      </c>
      <c r="AU3" s="77" t="s">
        <v>107</v>
      </c>
      <c r="AV3" s="48"/>
      <c r="AW3" s="48"/>
      <c r="AX3" s="48"/>
      <c r="AY3" s="48"/>
      <c r="AZ3" s="48"/>
      <c r="BB3" s="47"/>
      <c r="BC3" s="48"/>
      <c r="BD3" s="48"/>
      <c r="BE3" s="48"/>
    </row>
    <row r="4" spans="21:64" ht="19.5" customHeight="1" hidden="1">
      <c r="U4" s="159">
        <v>5000</v>
      </c>
      <c r="V4" s="160">
        <v>29.47</v>
      </c>
      <c r="W4" s="160">
        <v>40.57</v>
      </c>
      <c r="X4" s="67"/>
      <c r="AC4" s="26"/>
      <c r="AG4"/>
      <c r="AI4"/>
      <c r="AJ4"/>
      <c r="AK4"/>
      <c r="AP4"/>
      <c r="AQ4"/>
      <c r="AR4" s="62">
        <v>5000</v>
      </c>
      <c r="AS4" s="63">
        <v>22.95</v>
      </c>
      <c r="AT4" s="63">
        <v>37.95</v>
      </c>
      <c r="AU4" s="63">
        <v>4.75</v>
      </c>
      <c r="AV4"/>
      <c r="AW4"/>
      <c r="AX4"/>
      <c r="AY4"/>
      <c r="AZ4"/>
      <c r="BA4"/>
      <c r="BB4"/>
      <c r="BC4"/>
      <c r="BD4"/>
      <c r="BE4"/>
      <c r="BF4"/>
      <c r="BG4"/>
      <c r="BI4"/>
      <c r="BJ4"/>
      <c r="BK4"/>
      <c r="BL4"/>
    </row>
    <row r="5" spans="9:64" ht="19.5" customHeight="1" hidden="1">
      <c r="I5"/>
      <c r="O5" s="65"/>
      <c r="U5" s="159">
        <v>10000</v>
      </c>
      <c r="V5" s="160">
        <v>26.88</v>
      </c>
      <c r="W5" s="160">
        <v>37.48</v>
      </c>
      <c r="X5" s="67"/>
      <c r="Y5" s="24"/>
      <c r="AC5" s="88"/>
      <c r="AG5" s="24"/>
      <c r="AH5" s="152"/>
      <c r="AI5" s="24"/>
      <c r="AJ5" s="53"/>
      <c r="AK5" s="26"/>
      <c r="AL5" s="26"/>
      <c r="AM5" s="26"/>
      <c r="AN5" s="27"/>
      <c r="AP5"/>
      <c r="AQ5"/>
      <c r="AR5" s="62">
        <v>10000</v>
      </c>
      <c r="AS5" s="63">
        <v>21.95</v>
      </c>
      <c r="AT5" s="63">
        <v>34.95</v>
      </c>
      <c r="AU5" s="63">
        <v>4.5</v>
      </c>
      <c r="AV5"/>
      <c r="AW5"/>
      <c r="AX5"/>
      <c r="AY5"/>
      <c r="AZ5"/>
      <c r="BA5"/>
      <c r="BB5"/>
      <c r="BC5"/>
      <c r="BD5"/>
      <c r="BE5"/>
      <c r="BF5"/>
      <c r="BG5"/>
      <c r="BI5"/>
      <c r="BJ5"/>
      <c r="BK5"/>
      <c r="BL5"/>
    </row>
    <row r="6" spans="9:64" ht="14.25" customHeight="1" hidden="1">
      <c r="I6"/>
      <c r="O6" s="65"/>
      <c r="U6" s="159">
        <v>15000</v>
      </c>
      <c r="V6" s="160">
        <v>25.24</v>
      </c>
      <c r="W6" s="160">
        <v>35.34</v>
      </c>
      <c r="X6" s="67"/>
      <c r="Y6" s="24"/>
      <c r="AC6" s="88"/>
      <c r="AG6" s="24"/>
      <c r="AH6" s="152"/>
      <c r="AI6" s="24"/>
      <c r="AJ6" s="53"/>
      <c r="AK6" s="26"/>
      <c r="AL6" s="26"/>
      <c r="AM6" s="26"/>
      <c r="AN6" s="27"/>
      <c r="AP6"/>
      <c r="AQ6"/>
      <c r="AR6" s="62">
        <v>15000</v>
      </c>
      <c r="AS6" s="63">
        <v>20.95</v>
      </c>
      <c r="AT6" s="63">
        <v>32.95</v>
      </c>
      <c r="AU6" s="63">
        <v>4.25</v>
      </c>
      <c r="AV6"/>
      <c r="AW6"/>
      <c r="AX6"/>
      <c r="AY6"/>
      <c r="AZ6"/>
      <c r="BA6"/>
      <c r="BB6"/>
      <c r="BC6"/>
      <c r="BD6"/>
      <c r="BE6"/>
      <c r="BF6"/>
      <c r="BG6"/>
      <c r="BI6"/>
      <c r="BJ6"/>
      <c r="BK6"/>
      <c r="BL6"/>
    </row>
    <row r="7" spans="9:64" ht="14.25" customHeight="1" hidden="1">
      <c r="I7"/>
      <c r="N7" s="64"/>
      <c r="O7" s="65"/>
      <c r="T7" s="65"/>
      <c r="U7" s="159">
        <v>20000</v>
      </c>
      <c r="V7" s="160">
        <v>22.65</v>
      </c>
      <c r="W7" s="160">
        <v>32.25</v>
      </c>
      <c r="X7" s="67"/>
      <c r="Y7" s="24"/>
      <c r="Z7" s="53"/>
      <c r="AA7" s="68"/>
      <c r="AB7" s="88"/>
      <c r="AC7" s="88"/>
      <c r="AD7" s="65"/>
      <c r="AE7" s="53"/>
      <c r="AF7" s="53"/>
      <c r="AG7" s="24"/>
      <c r="AH7" s="152"/>
      <c r="AI7" s="24"/>
      <c r="AJ7" s="53"/>
      <c r="AK7" s="26"/>
      <c r="AL7" s="26"/>
      <c r="AM7" s="26"/>
      <c r="AN7" s="27"/>
      <c r="AP7"/>
      <c r="AQ7"/>
      <c r="AR7" s="62">
        <v>20000</v>
      </c>
      <c r="AS7" s="63">
        <v>19.95</v>
      </c>
      <c r="AT7" s="63">
        <v>29.95</v>
      </c>
      <c r="AU7" s="63">
        <v>4</v>
      </c>
      <c r="AV7"/>
      <c r="AW7"/>
      <c r="AX7"/>
      <c r="AY7"/>
      <c r="AZ7"/>
      <c r="BA7"/>
      <c r="BB7"/>
      <c r="BC7"/>
      <c r="BD7"/>
      <c r="BE7"/>
      <c r="BF7"/>
      <c r="BG7"/>
      <c r="BI7"/>
      <c r="BJ7"/>
      <c r="BK7"/>
      <c r="BL7"/>
    </row>
    <row r="8" spans="9:64" ht="14.25" customHeight="1">
      <c r="I8"/>
      <c r="N8" s="64"/>
      <c r="O8" s="65"/>
      <c r="T8" s="65"/>
      <c r="U8" s="66"/>
      <c r="V8" s="67"/>
      <c r="W8" s="67"/>
      <c r="X8" s="67"/>
      <c r="Y8" s="24"/>
      <c r="Z8" s="53"/>
      <c r="AA8" s="68"/>
      <c r="AB8" s="88"/>
      <c r="AC8" s="88"/>
      <c r="AD8" s="399" t="s">
        <v>156</v>
      </c>
      <c r="AE8" s="399"/>
      <c r="AF8" s="399"/>
      <c r="AG8" s="24"/>
      <c r="AH8" s="152"/>
      <c r="AI8" s="24"/>
      <c r="AJ8" s="53"/>
      <c r="AK8" s="26"/>
      <c r="AL8" s="26"/>
      <c r="AM8" s="26"/>
      <c r="AN8" s="27"/>
      <c r="AP8"/>
      <c r="AQ8"/>
      <c r="AR8" s="66"/>
      <c r="AS8" s="67"/>
      <c r="AT8" s="67"/>
      <c r="AU8" s="67"/>
      <c r="AV8"/>
      <c r="AW8"/>
      <c r="AX8"/>
      <c r="AY8"/>
      <c r="AZ8"/>
      <c r="BA8"/>
      <c r="BB8"/>
      <c r="BC8"/>
      <c r="BD8"/>
      <c r="BE8"/>
      <c r="BF8"/>
      <c r="BG8"/>
      <c r="BI8"/>
      <c r="BJ8"/>
      <c r="BK8"/>
      <c r="BL8"/>
    </row>
    <row r="9" spans="9:64" ht="14.25" customHeight="1">
      <c r="I9"/>
      <c r="N9" s="64"/>
      <c r="O9" s="65"/>
      <c r="T9" s="65"/>
      <c r="U9" s="66"/>
      <c r="V9" s="67"/>
      <c r="W9" s="67"/>
      <c r="X9" s="67"/>
      <c r="Y9" s="24"/>
      <c r="Z9" s="53"/>
      <c r="AA9" s="68"/>
      <c r="AB9" s="296" t="s">
        <v>97</v>
      </c>
      <c r="AC9" s="88"/>
      <c r="AD9" s="370" t="s">
        <v>150</v>
      </c>
      <c r="AE9" s="370" t="s">
        <v>151</v>
      </c>
      <c r="AF9" s="370" t="s">
        <v>152</v>
      </c>
      <c r="AG9" s="24"/>
      <c r="AH9" s="152"/>
      <c r="AI9" s="24"/>
      <c r="AJ9" s="53"/>
      <c r="AK9" s="26"/>
      <c r="AL9" s="26"/>
      <c r="AM9" s="26"/>
      <c r="AN9" s="27"/>
      <c r="AP9"/>
      <c r="AQ9"/>
      <c r="AR9" s="66"/>
      <c r="AS9" s="67"/>
      <c r="AT9" s="67"/>
      <c r="AU9" s="67"/>
      <c r="AV9"/>
      <c r="AW9"/>
      <c r="AX9"/>
      <c r="AY9"/>
      <c r="AZ9"/>
      <c r="BA9"/>
      <c r="BB9"/>
      <c r="BC9"/>
      <c r="BD9"/>
      <c r="BE9"/>
      <c r="BF9"/>
      <c r="BG9"/>
      <c r="BI9"/>
      <c r="BJ9"/>
      <c r="BK9"/>
      <c r="BL9"/>
    </row>
    <row r="10" spans="9:64" ht="11.25" customHeight="1">
      <c r="I10"/>
      <c r="N10" s="64"/>
      <c r="O10" s="65"/>
      <c r="T10" s="65"/>
      <c r="U10" s="66"/>
      <c r="V10" s="67"/>
      <c r="W10" s="67"/>
      <c r="X10" s="67"/>
      <c r="Y10" s="24"/>
      <c r="Z10" s="53"/>
      <c r="AA10" s="68"/>
      <c r="AB10" s="295">
        <f>VLOOKUP(Summary!$D$32,'Input Data'!$D$2:$E$13,2,FALSE)</f>
        <v>0.5</v>
      </c>
      <c r="AC10" s="88"/>
      <c r="AD10" s="164" t="s">
        <v>153</v>
      </c>
      <c r="AE10" s="371">
        <f>VLOOKUP(Summary!$D$34,'Input Data'!$J$2:$K$13,2,FALSE)</f>
        <v>0</v>
      </c>
      <c r="AF10" s="45">
        <v>19</v>
      </c>
      <c r="AG10" s="24"/>
      <c r="AH10" s="152"/>
      <c r="AI10" s="24"/>
      <c r="AJ10" s="53"/>
      <c r="AK10" s="26"/>
      <c r="AL10" s="26"/>
      <c r="AM10" s="26"/>
      <c r="AN10" s="27"/>
      <c r="AP10"/>
      <c r="AQ10"/>
      <c r="AR10" s="66"/>
      <c r="AS10" s="67"/>
      <c r="AT10" s="67"/>
      <c r="AU10" s="67"/>
      <c r="AV10"/>
      <c r="AW10"/>
      <c r="AX10"/>
      <c r="AY10"/>
      <c r="AZ10"/>
      <c r="BA10"/>
      <c r="BB10"/>
      <c r="BC10"/>
      <c r="BD10"/>
      <c r="BE10"/>
      <c r="BF10"/>
      <c r="BG10"/>
      <c r="BI10"/>
      <c r="BJ10"/>
      <c r="BK10"/>
      <c r="BL10"/>
    </row>
    <row r="11" spans="9:64" ht="14.25" customHeight="1">
      <c r="I11"/>
      <c r="N11" s="64"/>
      <c r="O11" s="65"/>
      <c r="T11" s="65"/>
      <c r="U11" s="66"/>
      <c r="V11" s="67"/>
      <c r="W11" s="67"/>
      <c r="X11" s="67"/>
      <c r="Y11" s="24"/>
      <c r="Z11" s="53"/>
      <c r="AA11" s="68"/>
      <c r="AB11" s="88"/>
      <c r="AC11" s="88"/>
      <c r="AD11" s="164" t="s">
        <v>154</v>
      </c>
      <c r="AE11" s="371">
        <f>VLOOKUP(Summary!$D$33,'Input Data'!$F$2:$G$14,2,FALSE)</f>
        <v>1</v>
      </c>
      <c r="AF11" s="45">
        <v>59</v>
      </c>
      <c r="AG11" s="24"/>
      <c r="AH11" s="152"/>
      <c r="AI11" s="24"/>
      <c r="AJ11" s="53"/>
      <c r="AK11" s="26"/>
      <c r="AL11" s="26"/>
      <c r="AM11" s="26"/>
      <c r="AN11" s="27"/>
      <c r="AP11"/>
      <c r="AQ11"/>
      <c r="AR11" s="66"/>
      <c r="AS11" s="67"/>
      <c r="AT11" s="67"/>
      <c r="AU11" s="67"/>
      <c r="AV11"/>
      <c r="AW11"/>
      <c r="AX11"/>
      <c r="AY11"/>
      <c r="AZ11"/>
      <c r="BA11"/>
      <c r="BB11"/>
      <c r="BC11"/>
      <c r="BD11"/>
      <c r="BE11"/>
      <c r="BF11"/>
      <c r="BG11"/>
      <c r="BI11"/>
      <c r="BJ11"/>
      <c r="BK11"/>
      <c r="BL11"/>
    </row>
    <row r="12" spans="9:64" ht="14.25" customHeight="1">
      <c r="I12"/>
      <c r="N12" s="64"/>
      <c r="O12" s="65"/>
      <c r="T12" s="65"/>
      <c r="U12" s="66"/>
      <c r="V12" s="67"/>
      <c r="W12" s="67"/>
      <c r="X12" s="67"/>
      <c r="Y12" s="24"/>
      <c r="Z12" s="53"/>
      <c r="AA12" s="68"/>
      <c r="AB12" s="88"/>
      <c r="AC12" s="88"/>
      <c r="AD12" s="164" t="s">
        <v>155</v>
      </c>
      <c r="AE12" s="371">
        <f>+Summary!$F$3</f>
        <v>0</v>
      </c>
      <c r="AF12" s="45">
        <v>75</v>
      </c>
      <c r="AG12" s="24"/>
      <c r="AH12" s="152"/>
      <c r="AI12" s="24"/>
      <c r="AJ12" s="53"/>
      <c r="AK12" s="26"/>
      <c r="AL12" s="26"/>
      <c r="AM12" s="26"/>
      <c r="AN12" s="27"/>
      <c r="AP12"/>
      <c r="AQ12"/>
      <c r="AR12" s="66"/>
      <c r="AS12" s="67"/>
      <c r="AT12" s="67"/>
      <c r="AU12" s="67"/>
      <c r="AV12"/>
      <c r="AW12"/>
      <c r="AX12"/>
      <c r="AY12"/>
      <c r="AZ12"/>
      <c r="BA12"/>
      <c r="BB12"/>
      <c r="BC12"/>
      <c r="BD12"/>
      <c r="BE12"/>
      <c r="BF12"/>
      <c r="BG12"/>
      <c r="BI12"/>
      <c r="BJ12"/>
      <c r="BK12"/>
      <c r="BL12"/>
    </row>
    <row r="13" spans="11:64" ht="16.5" customHeight="1">
      <c r="K13" s="65"/>
      <c r="L13" s="64"/>
      <c r="M13" s="64"/>
      <c r="N13" s="65"/>
      <c r="O13" s="65"/>
      <c r="P13" s="5"/>
      <c r="Q13" s="65"/>
      <c r="R13" s="65"/>
      <c r="S13" s="57"/>
      <c r="T13" s="66"/>
      <c r="U13" s="67"/>
      <c r="V13" s="67"/>
      <c r="W13" s="67"/>
      <c r="Y13" s="65"/>
      <c r="Z13" s="68"/>
      <c r="AA13" s="27"/>
      <c r="AD13" s="53"/>
      <c r="AE13" s="26"/>
      <c r="AF13" s="26"/>
      <c r="AJ13" s="26"/>
      <c r="AK13"/>
      <c r="AP13"/>
      <c r="AQ13"/>
      <c r="AR13" s="24"/>
      <c r="AS13" s="53"/>
      <c r="AT13" s="53"/>
      <c r="AV13"/>
      <c r="AW13"/>
      <c r="AX13"/>
      <c r="AY13"/>
      <c r="AZ13"/>
      <c r="BA13"/>
      <c r="BB13"/>
      <c r="BC13"/>
      <c r="BD13"/>
      <c r="BE13"/>
      <c r="BF13"/>
      <c r="BG13"/>
      <c r="BI13"/>
      <c r="BJ13"/>
      <c r="BK13"/>
      <c r="BL13"/>
    </row>
    <row r="14" spans="9:47" s="2" customFormat="1" ht="15" customHeight="1">
      <c r="I14" s="20"/>
      <c r="K14" s="93"/>
      <c r="L14" s="92"/>
      <c r="M14" s="92"/>
      <c r="N14" s="93"/>
      <c r="O14" s="93"/>
      <c r="P14" s="28"/>
      <c r="Q14" s="93"/>
      <c r="R14" s="93"/>
      <c r="S14" s="94"/>
      <c r="T14" s="95"/>
      <c r="U14" s="361"/>
      <c r="V14" s="361"/>
      <c r="W14" s="362"/>
      <c r="X14" s="96"/>
      <c r="Y14" s="285" t="s">
        <v>112</v>
      </c>
      <c r="Z14" s="285"/>
      <c r="AA14" s="285"/>
      <c r="AB14" s="285"/>
      <c r="AC14" s="91"/>
      <c r="AD14" s="283" t="s">
        <v>86</v>
      </c>
      <c r="AE14" s="283"/>
      <c r="AF14" s="283"/>
      <c r="AG14" s="283"/>
      <c r="AH14" s="284"/>
      <c r="AI14" s="97"/>
      <c r="AJ14" s="110"/>
      <c r="AK14" s="111"/>
      <c r="AL14" s="111"/>
      <c r="AR14" s="20"/>
      <c r="AS14" s="306" t="s">
        <v>179</v>
      </c>
      <c r="AT14" s="306"/>
      <c r="AU14" s="306"/>
    </row>
    <row r="15" spans="1:47" s="18" customFormat="1" ht="95.25" customHeight="1">
      <c r="A15" s="17"/>
      <c r="B15" s="17"/>
      <c r="C15" s="17" t="s">
        <v>0</v>
      </c>
      <c r="D15" s="7" t="s">
        <v>35</v>
      </c>
      <c r="E15" s="7" t="s">
        <v>36</v>
      </c>
      <c r="F15" s="7" t="s">
        <v>37</v>
      </c>
      <c r="G15" s="7" t="s">
        <v>38</v>
      </c>
      <c r="H15" s="7" t="s">
        <v>42</v>
      </c>
      <c r="I15" s="8" t="s">
        <v>28</v>
      </c>
      <c r="J15" s="8" t="s">
        <v>29</v>
      </c>
      <c r="K15" s="8" t="s">
        <v>30</v>
      </c>
      <c r="L15" s="8" t="s">
        <v>31</v>
      </c>
      <c r="M15" s="8" t="s">
        <v>45</v>
      </c>
      <c r="N15" s="21" t="s">
        <v>43</v>
      </c>
      <c r="O15" s="21" t="s">
        <v>44</v>
      </c>
      <c r="P15" s="21" t="s">
        <v>96</v>
      </c>
      <c r="Q15" s="21" t="s">
        <v>98</v>
      </c>
      <c r="R15" s="21" t="s">
        <v>46</v>
      </c>
      <c r="S15" s="21" t="s">
        <v>105</v>
      </c>
      <c r="T15" s="21" t="s">
        <v>53</v>
      </c>
      <c r="U15" s="70" t="s">
        <v>106</v>
      </c>
      <c r="V15" s="71" t="s">
        <v>47</v>
      </c>
      <c r="W15" s="180" t="s">
        <v>160</v>
      </c>
      <c r="X15" s="91"/>
      <c r="Y15" s="98" t="s">
        <v>184</v>
      </c>
      <c r="Z15" s="149" t="s">
        <v>109</v>
      </c>
      <c r="AA15" s="99" t="s">
        <v>114</v>
      </c>
      <c r="AB15" s="100" t="s">
        <v>111</v>
      </c>
      <c r="AC15" s="89"/>
      <c r="AD15" s="105" t="s">
        <v>92</v>
      </c>
      <c r="AE15" s="106" t="s">
        <v>110</v>
      </c>
      <c r="AF15" s="105" t="s">
        <v>115</v>
      </c>
      <c r="AG15" s="106" t="s">
        <v>146</v>
      </c>
      <c r="AH15" s="156" t="s">
        <v>148</v>
      </c>
      <c r="AI15" s="22"/>
      <c r="AJ15" s="112" t="s">
        <v>147</v>
      </c>
      <c r="AK15" s="113" t="s">
        <v>113</v>
      </c>
      <c r="AL15" s="113" t="s">
        <v>95</v>
      </c>
      <c r="AS15" s="76" t="s">
        <v>106</v>
      </c>
      <c r="AT15" s="77" t="s">
        <v>47</v>
      </c>
      <c r="AU15" s="86" t="s">
        <v>160</v>
      </c>
    </row>
    <row r="16" spans="1:64" ht="13.5" customHeight="1">
      <c r="A16" s="9" t="s">
        <v>32</v>
      </c>
      <c r="B16" s="9">
        <f>VLOOKUP(C16,'Input Data'!$C$2:$D$28,2,FALSE)</f>
        <v>2</v>
      </c>
      <c r="C16" s="9" t="s">
        <v>1</v>
      </c>
      <c r="D16" s="10">
        <v>3710000</v>
      </c>
      <c r="E16" s="10">
        <v>770000</v>
      </c>
      <c r="F16" s="10">
        <v>640000</v>
      </c>
      <c r="G16" s="10">
        <v>2300000</v>
      </c>
      <c r="H16" s="10">
        <f>J16*450</f>
        <v>784350</v>
      </c>
      <c r="I16" s="11">
        <v>379064</v>
      </c>
      <c r="J16" s="11">
        <v>1743</v>
      </c>
      <c r="K16" s="12">
        <v>877</v>
      </c>
      <c r="L16" s="12">
        <v>84</v>
      </c>
      <c r="M16" s="12">
        <f>(K16-L16)+(L16*7/12)</f>
        <v>842</v>
      </c>
      <c r="N16" s="23">
        <f>442*I16/5280</f>
        <v>31732.251515151514</v>
      </c>
      <c r="O16" s="23">
        <f>J16*17</f>
        <v>29631</v>
      </c>
      <c r="P16" s="23">
        <f>39*K16</f>
        <v>34203</v>
      </c>
      <c r="Q16" s="23">
        <v>28800</v>
      </c>
      <c r="R16" s="23">
        <f>(N16+O16+P16+Q16)*1.1</f>
        <v>136802.87666666668</v>
      </c>
      <c r="S16" s="23">
        <f>R16/12/($AB$10*M16)</f>
        <v>27.078954209553974</v>
      </c>
      <c r="T16" s="24">
        <f aca="true" t="shared" si="0" ref="T16:T37">$AE$10*$AF$10+$AE$11*$AF$11+$AE$12*$AF$12</f>
        <v>59</v>
      </c>
      <c r="U16" s="72">
        <f>R16/((T16-(1-$AE$10)*$V$4-$AE$10*$W$4)*12)</f>
        <v>386.0562046130113</v>
      </c>
      <c r="V16" s="73">
        <f>U16/M16</f>
        <v>0.4584990553598709</v>
      </c>
      <c r="W16" s="69">
        <f>(M16/$M$32)*$W$33</f>
        <v>25958.718660296647</v>
      </c>
      <c r="Y16" s="101">
        <f>0.03*(D16-F16-H16)*0.3</f>
        <v>20570.85</v>
      </c>
      <c r="Z16" s="55">
        <f>(Y16/(M16*$AB$10))/12</f>
        <v>4.071823040380047</v>
      </c>
      <c r="AA16" s="55">
        <f>T16+Z16</f>
        <v>63.071823040380046</v>
      </c>
      <c r="AB16" s="102">
        <f>((Y16/'Assessed Value'!E18)*'Assessed Value'!G18)/12</f>
        <v>1.7511248662740158</v>
      </c>
      <c r="AC16" s="84"/>
      <c r="AD16" s="107">
        <f>'Debt Service'!K13</f>
        <v>163555.55555555556</v>
      </c>
      <c r="AE16" s="107">
        <f>AD16/(12*$AB$10*M16)</f>
        <v>32.374417172516935</v>
      </c>
      <c r="AF16" s="107">
        <f>T16+AE16</f>
        <v>91.37441717251693</v>
      </c>
      <c r="AG16" s="107">
        <f>((AD16/'Assessed Value'!E18)*'Assessed Value'!G18)/12</f>
        <v>13.92291521014419</v>
      </c>
      <c r="AH16" s="157">
        <f>(AD16/'Assessed Value'!E18)*1000</f>
        <v>0.680398428932294</v>
      </c>
      <c r="AI16" s="24"/>
      <c r="AJ16" s="58">
        <f>(((AD16+Y16)/'Assessed Value'!E18)*'Assessed Value'!G18)/12</f>
        <v>15.674040076418207</v>
      </c>
      <c r="AK16" s="58">
        <f>T16+Z16+AE16</f>
        <v>95.44624021289698</v>
      </c>
      <c r="AL16" s="58">
        <f>T16</f>
        <v>59</v>
      </c>
      <c r="AP16"/>
      <c r="AQ16"/>
      <c r="AS16" s="78">
        <f>R16/((T16-(1-$AE$10)*$AS$4-$AE$10*$AT$4-$AU$4)*12)</f>
        <v>364.2249112531062</v>
      </c>
      <c r="AT16" s="79">
        <f>AS16/M16</f>
        <v>0.432571153507252</v>
      </c>
      <c r="AU16" s="85">
        <f>(M16/$M$62)*$AU$62</f>
        <v>30423.421062551675</v>
      </c>
      <c r="AV16"/>
      <c r="AW16"/>
      <c r="AX16"/>
      <c r="AY16"/>
      <c r="AZ16"/>
      <c r="BA16"/>
      <c r="BB16"/>
      <c r="BC16"/>
      <c r="BD16"/>
      <c r="BE16"/>
      <c r="BF16"/>
      <c r="BG16"/>
      <c r="BI16"/>
      <c r="BJ16"/>
      <c r="BK16"/>
      <c r="BL16"/>
    </row>
    <row r="17" spans="1:64" ht="13.5" customHeight="1">
      <c r="A17" s="9" t="s">
        <v>32</v>
      </c>
      <c r="B17" s="9">
        <f>VLOOKUP(C17,'Input Data'!$C$2:$D$28,2,FALSE)</f>
        <v>3</v>
      </c>
      <c r="C17" s="9" t="s">
        <v>2</v>
      </c>
      <c r="D17" s="10">
        <v>5900000</v>
      </c>
      <c r="E17" s="10">
        <v>1290000</v>
      </c>
      <c r="F17" s="10">
        <v>860000</v>
      </c>
      <c r="G17" s="10">
        <v>3750000</v>
      </c>
      <c r="H17" s="10">
        <f>J17*450</f>
        <v>1602000</v>
      </c>
      <c r="I17" s="11">
        <v>567536</v>
      </c>
      <c r="J17" s="11">
        <v>3560</v>
      </c>
      <c r="K17" s="12">
        <v>1728</v>
      </c>
      <c r="L17" s="12">
        <v>890</v>
      </c>
      <c r="M17" s="12">
        <f>(K17-L17)+(L17*7/12)</f>
        <v>1357.1666666666665</v>
      </c>
      <c r="N17" s="23">
        <f>442*I17/5280</f>
        <v>47509.642424242425</v>
      </c>
      <c r="O17" s="23">
        <f>J17*17</f>
        <v>60520</v>
      </c>
      <c r="P17" s="23">
        <f>39*K17</f>
        <v>67392</v>
      </c>
      <c r="Q17" s="23">
        <v>28800</v>
      </c>
      <c r="R17" s="23">
        <f>(N17+O17+P17+Q17)*1.1</f>
        <v>224643.8066666667</v>
      </c>
      <c r="S17" s="23">
        <f>R17/12/($AB$10*M17)</f>
        <v>27.587351917802618</v>
      </c>
      <c r="T17" s="24">
        <f t="shared" si="0"/>
        <v>59</v>
      </c>
      <c r="U17" s="72">
        <f>R17/((T17-(1-$AE$10)*$V$4-$AE$10*$W$4)*12)</f>
        <v>633.942337359371</v>
      </c>
      <c r="V17" s="73">
        <f>U17/M17</f>
        <v>0.46710721161196445</v>
      </c>
      <c r="W17" s="69">
        <f aca="true" t="shared" si="1" ref="W17:W31">(M17/$M$32)*$W$33</f>
        <v>41841.22051678455</v>
      </c>
      <c r="Y17" s="101">
        <f>0.03*(D17-F17-H17)*0.3</f>
        <v>30942</v>
      </c>
      <c r="Z17" s="55">
        <f>(Y17/(M17*$AB$10))/12</f>
        <v>3.799828073191699</v>
      </c>
      <c r="AA17" s="55">
        <f>T17+Z17</f>
        <v>62.7998280731917</v>
      </c>
      <c r="AB17" s="102">
        <f>((Y17/'Assessed Value'!E3)*'Assessed Value'!G3)/12</f>
        <v>1.3472923653014555</v>
      </c>
      <c r="AC17" s="84"/>
      <c r="AD17" s="107">
        <f>'Debt Service'!K21</f>
        <v>266666.6666666667</v>
      </c>
      <c r="AE17" s="107">
        <f>AD17/(12*$AB$10*M17)</f>
        <v>32.747963486020716</v>
      </c>
      <c r="AF17" s="107">
        <f>T17+AE17</f>
        <v>91.74796348602072</v>
      </c>
      <c r="AG17" s="107">
        <f>((AD17/'Assessed Value'!E3)*'Assessed Value'!G3)/12</f>
        <v>11.611336179962128</v>
      </c>
      <c r="AH17" s="157">
        <f>(AD17/'Assessed Value'!E3)*1000</f>
        <v>0.5315273617532495</v>
      </c>
      <c r="AI17" s="24"/>
      <c r="AJ17" s="58">
        <f>(((AD17+Y17)/'Assessed Value'!E3)*'Assessed Value'!G3)/12</f>
        <v>12.958628545263585</v>
      </c>
      <c r="AK17" s="58">
        <f>T17+Z17+AE17</f>
        <v>95.54779155921241</v>
      </c>
      <c r="AL17" s="58">
        <f>T17</f>
        <v>59</v>
      </c>
      <c r="AP17"/>
      <c r="AQ17"/>
      <c r="AS17" s="78">
        <f>R17/((T17-(1-$AE$10)*$AS$4-$AE$10*$AT$4-$AU$4)*12)</f>
        <v>598.0932019879306</v>
      </c>
      <c r="AT17" s="79">
        <f>AS17/M17</f>
        <v>0.4406925226486042</v>
      </c>
      <c r="AU17" s="85">
        <f>(M17/$M$32)*$AU$32</f>
        <v>56254.330516784496</v>
      </c>
      <c r="AV17"/>
      <c r="AW17"/>
      <c r="AX17"/>
      <c r="AY17"/>
      <c r="AZ17"/>
      <c r="BA17"/>
      <c r="BB17"/>
      <c r="BC17"/>
      <c r="BD17"/>
      <c r="BE17"/>
      <c r="BF17"/>
      <c r="BG17"/>
      <c r="BI17"/>
      <c r="BJ17"/>
      <c r="BK17"/>
      <c r="BL17"/>
    </row>
    <row r="18" spans="1:64" ht="13.5" customHeight="1">
      <c r="A18" s="9" t="s">
        <v>32</v>
      </c>
      <c r="B18" s="9">
        <f>VLOOKUP(C18,'Input Data'!$C$2:$D$28,2,FALSE)</f>
        <v>4</v>
      </c>
      <c r="C18" s="9" t="s">
        <v>3</v>
      </c>
      <c r="D18" s="10">
        <v>2800000</v>
      </c>
      <c r="E18" s="10">
        <v>560000</v>
      </c>
      <c r="F18" s="10">
        <v>480000</v>
      </c>
      <c r="G18" s="10">
        <v>1760000</v>
      </c>
      <c r="H18" s="10">
        <f aca="true" t="shared" si="2" ref="H18:H31">J18*450</f>
        <v>623250</v>
      </c>
      <c r="I18" s="11">
        <v>263956</v>
      </c>
      <c r="J18" s="11">
        <v>1385</v>
      </c>
      <c r="K18" s="12">
        <v>574</v>
      </c>
      <c r="L18" s="12">
        <v>58</v>
      </c>
      <c r="M18" s="12">
        <f aca="true" t="shared" si="3" ref="M18:M32">(K18-L18)+(L18*7/12)</f>
        <v>549.8333333333334</v>
      </c>
      <c r="N18" s="23">
        <f aca="true" t="shared" si="4" ref="N18:N31">442*I18/5280</f>
        <v>22096.316666666666</v>
      </c>
      <c r="O18" s="23">
        <f aca="true" t="shared" si="5" ref="O18:O31">J18*17</f>
        <v>23545</v>
      </c>
      <c r="P18" s="23">
        <f aca="true" t="shared" si="6" ref="P18:P31">39*K18</f>
        <v>22386</v>
      </c>
      <c r="Q18" s="23">
        <v>28800</v>
      </c>
      <c r="R18" s="23">
        <f aca="true" t="shared" si="7" ref="R18:R32">(N18+O18+P18+Q18)*1.1</f>
        <v>106510.04833333334</v>
      </c>
      <c r="S18" s="23">
        <f aca="true" t="shared" si="8" ref="S18:S63">R18/12/($AB$10*M18)</f>
        <v>32.285555723956755</v>
      </c>
      <c r="T18" s="24">
        <f t="shared" si="0"/>
        <v>59</v>
      </c>
      <c r="U18" s="72">
        <f aca="true" t="shared" si="9" ref="U18:U63">R18/((T18-(1-$AE$10)*$V$4-$AE$10*$W$4)*12)</f>
        <v>300.57017816156826</v>
      </c>
      <c r="V18" s="73">
        <f aca="true" t="shared" si="10" ref="V18:V31">U18/M18</f>
        <v>0.5466568866230401</v>
      </c>
      <c r="W18" s="69">
        <f t="shared" si="1"/>
        <v>16951.26937060939</v>
      </c>
      <c r="Y18" s="101">
        <f>0.03*(D18-F18-H18)*0.3</f>
        <v>15270.75</v>
      </c>
      <c r="Z18" s="55">
        <f aca="true" t="shared" si="11" ref="Z18:Z63">(Y18/(M18*$AB$10))/12</f>
        <v>4.628902697787208</v>
      </c>
      <c r="AA18" s="55">
        <f aca="true" t="shared" si="12" ref="AA18:AA63">T18+Z18</f>
        <v>63.62890269778721</v>
      </c>
      <c r="AB18" s="102">
        <f>((Y18/'Assessed Value'!E4)*'Assessed Value'!G4)/12</f>
        <v>1.76886865303506</v>
      </c>
      <c r="AC18" s="84"/>
      <c r="AD18" s="107">
        <f>'Debt Service'!K29</f>
        <v>125155.55555555556</v>
      </c>
      <c r="AE18" s="107">
        <f aca="true" t="shared" si="13" ref="AE18:AE63">AD18/(12*$AB$10*M18)</f>
        <v>37.937422114445454</v>
      </c>
      <c r="AF18" s="107">
        <f aca="true" t="shared" si="14" ref="AF18:AF63">T18+AE18</f>
        <v>96.93742211444545</v>
      </c>
      <c r="AG18" s="107">
        <f>((AD18/'Assessed Value'!E4)*'Assessed Value'!G4)/12</f>
        <v>14.497240736401956</v>
      </c>
      <c r="AH18" s="157">
        <f>(AD18/'Assessed Value'!E4)*1000</f>
        <v>0.7288370450741306</v>
      </c>
      <c r="AI18" s="24"/>
      <c r="AJ18" s="58">
        <f>(((AD18+Y18)/'Assessed Value'!E4)*'Assessed Value'!G4)/12</f>
        <v>16.266109389437016</v>
      </c>
      <c r="AK18" s="58">
        <f aca="true" t="shared" si="15" ref="AK18:AK63">T18+Z18+AE18</f>
        <v>101.56632481223266</v>
      </c>
      <c r="AL18" s="58">
        <f aca="true" t="shared" si="16" ref="AL18:AL37">T18</f>
        <v>59</v>
      </c>
      <c r="AP18"/>
      <c r="AQ18"/>
      <c r="AS18" s="78">
        <f aca="true" t="shared" si="17" ref="AS18:AS63">R18/((T18-(1-$AE$10)*$AS$4-$AE$10*$AT$4-$AU$4)*12)</f>
        <v>283.573078629748</v>
      </c>
      <c r="AT18" s="79">
        <f aca="true" t="shared" si="18" ref="AT18:AT63">AS18/M18</f>
        <v>0.5157437016606511</v>
      </c>
      <c r="AU18" s="85">
        <f>(M18/$M$32)*$AU$32</f>
        <v>22790.499370609366</v>
      </c>
      <c r="AV18"/>
      <c r="AW18"/>
      <c r="AX18"/>
      <c r="AY18"/>
      <c r="AZ18"/>
      <c r="BA18"/>
      <c r="BB18"/>
      <c r="BC18"/>
      <c r="BD18"/>
      <c r="BE18"/>
      <c r="BF18"/>
      <c r="BG18"/>
      <c r="BI18"/>
      <c r="BJ18"/>
      <c r="BK18"/>
      <c r="BL18"/>
    </row>
    <row r="19" spans="1:64" ht="13.5" customHeight="1">
      <c r="A19" s="9" t="s">
        <v>32</v>
      </c>
      <c r="B19" s="9">
        <f>VLOOKUP(C19,'Input Data'!$C$2:$D$28,2,FALSE)</f>
        <v>5</v>
      </c>
      <c r="C19" s="9" t="s">
        <v>4</v>
      </c>
      <c r="D19" s="10">
        <v>2670000</v>
      </c>
      <c r="E19" s="10">
        <v>530000</v>
      </c>
      <c r="F19" s="10">
        <v>430000</v>
      </c>
      <c r="G19" s="10">
        <v>1710000</v>
      </c>
      <c r="H19" s="10">
        <f t="shared" si="2"/>
        <v>802350</v>
      </c>
      <c r="I19" s="11">
        <v>292591</v>
      </c>
      <c r="J19" s="11">
        <v>1783</v>
      </c>
      <c r="K19" s="12">
        <v>681</v>
      </c>
      <c r="L19" s="12">
        <v>66</v>
      </c>
      <c r="M19" s="12">
        <f t="shared" si="3"/>
        <v>653.5</v>
      </c>
      <c r="N19" s="23">
        <f t="shared" si="4"/>
        <v>24493.413257575758</v>
      </c>
      <c r="O19" s="23">
        <f t="shared" si="5"/>
        <v>30311</v>
      </c>
      <c r="P19" s="23">
        <f t="shared" si="6"/>
        <v>26559</v>
      </c>
      <c r="Q19" s="23">
        <v>28800</v>
      </c>
      <c r="R19" s="23">
        <f t="shared" si="7"/>
        <v>121179.75458333334</v>
      </c>
      <c r="S19" s="23">
        <f t="shared" si="8"/>
        <v>30.905318689960044</v>
      </c>
      <c r="T19" s="24">
        <f t="shared" si="0"/>
        <v>59</v>
      </c>
      <c r="U19" s="72">
        <f t="shared" si="9"/>
        <v>341.96792691989316</v>
      </c>
      <c r="V19" s="73">
        <f t="shared" si="10"/>
        <v>0.5232868047741288</v>
      </c>
      <c r="W19" s="69">
        <f t="shared" si="1"/>
        <v>20147.295302261115</v>
      </c>
      <c r="Y19" s="101">
        <f aca="true" t="shared" si="19" ref="Y19:Y31">0.03*(D19-F19-H19)*0.3</f>
        <v>12938.85</v>
      </c>
      <c r="Z19" s="55">
        <f t="shared" si="11"/>
        <v>3.2998852333588373</v>
      </c>
      <c r="AA19" s="55">
        <f t="shared" si="12"/>
        <v>62.299885233358836</v>
      </c>
      <c r="AB19" s="102">
        <f>((Y19/'Assessed Value'!E5)*'Assessed Value'!G5)/12</f>
        <v>1.3453760417502714</v>
      </c>
      <c r="AC19" s="84"/>
      <c r="AD19" s="107">
        <f>'Debt Service'!K37</f>
        <v>121600</v>
      </c>
      <c r="AE19" s="107">
        <f t="shared" si="13"/>
        <v>31.012496812037746</v>
      </c>
      <c r="AF19" s="107">
        <f t="shared" si="14"/>
        <v>90.01249681203774</v>
      </c>
      <c r="AG19" s="107">
        <f>((AD19/'Assessed Value'!E5)*'Assessed Value'!G5)/12</f>
        <v>12.643915547118405</v>
      </c>
      <c r="AH19" s="157">
        <f>(AD19/'Assessed Value'!E5)*1000</f>
        <v>0.8929454394988966</v>
      </c>
      <c r="AI19" s="24"/>
      <c r="AJ19" s="58">
        <f>(((AD19+Y19)/'Assessed Value'!E5)*'Assessed Value'!G5)/12</f>
        <v>13.989291588868676</v>
      </c>
      <c r="AK19" s="58">
        <f t="shared" si="15"/>
        <v>93.31238204539659</v>
      </c>
      <c r="AL19" s="58">
        <f t="shared" si="16"/>
        <v>59</v>
      </c>
      <c r="AP19"/>
      <c r="AQ19"/>
      <c r="AS19" s="78">
        <f t="shared" si="17"/>
        <v>322.62980453496635</v>
      </c>
      <c r="AT19" s="79">
        <f t="shared" si="18"/>
        <v>0.4936951867405759</v>
      </c>
      <c r="AU19" s="85">
        <f>(M19/$M$32)*$AU$32</f>
        <v>27087.465302261087</v>
      </c>
      <c r="AV19"/>
      <c r="AW19"/>
      <c r="AX19"/>
      <c r="AY19"/>
      <c r="AZ19"/>
      <c r="BA19"/>
      <c r="BB19"/>
      <c r="BC19"/>
      <c r="BD19"/>
      <c r="BE19"/>
      <c r="BF19"/>
      <c r="BG19"/>
      <c r="BI19"/>
      <c r="BJ19"/>
      <c r="BK19"/>
      <c r="BL19"/>
    </row>
    <row r="20" spans="1:64" ht="13.5" customHeight="1">
      <c r="A20" s="9" t="s">
        <v>32</v>
      </c>
      <c r="B20" s="9">
        <f>VLOOKUP(C20,'Input Data'!$C$2:$D$28,2,FALSE)</f>
        <v>6</v>
      </c>
      <c r="C20" s="9" t="s">
        <v>5</v>
      </c>
      <c r="D20" s="10">
        <v>2400000</v>
      </c>
      <c r="E20" s="10">
        <v>500000</v>
      </c>
      <c r="F20" s="10">
        <v>390000</v>
      </c>
      <c r="G20" s="10">
        <v>1510000</v>
      </c>
      <c r="H20" s="10">
        <f t="shared" si="2"/>
        <v>594000</v>
      </c>
      <c r="I20" s="11">
        <v>254954</v>
      </c>
      <c r="J20" s="11">
        <v>1320</v>
      </c>
      <c r="K20" s="12">
        <v>591</v>
      </c>
      <c r="L20" s="12">
        <v>67</v>
      </c>
      <c r="M20" s="12">
        <f t="shared" si="3"/>
        <v>563.0833333333334</v>
      </c>
      <c r="N20" s="23">
        <f t="shared" si="4"/>
        <v>21342.74015151515</v>
      </c>
      <c r="O20" s="23">
        <f t="shared" si="5"/>
        <v>22440</v>
      </c>
      <c r="P20" s="23">
        <f t="shared" si="6"/>
        <v>23049</v>
      </c>
      <c r="Q20" s="23">
        <v>28800</v>
      </c>
      <c r="R20" s="23">
        <f t="shared" si="7"/>
        <v>105194.91416666667</v>
      </c>
      <c r="S20" s="23">
        <f t="shared" si="8"/>
        <v>31.13657367668097</v>
      </c>
      <c r="T20" s="24">
        <f t="shared" si="0"/>
        <v>59</v>
      </c>
      <c r="U20" s="72">
        <f t="shared" si="9"/>
        <v>296.8588840915077</v>
      </c>
      <c r="V20" s="73">
        <f t="shared" si="10"/>
        <v>0.5272023988601587</v>
      </c>
      <c r="W20" s="69">
        <f t="shared" si="1"/>
        <v>17359.764646439475</v>
      </c>
      <c r="Y20" s="101">
        <f t="shared" si="19"/>
        <v>12744</v>
      </c>
      <c r="Z20" s="55">
        <f t="shared" si="11"/>
        <v>3.7720882048246263</v>
      </c>
      <c r="AA20" s="55">
        <f t="shared" si="12"/>
        <v>62.77208820482463</v>
      </c>
      <c r="AB20" s="102">
        <f>((Y20/'Assessed Value'!E6)*'Assessed Value'!G6)/12</f>
        <v>1.7149042844914382</v>
      </c>
      <c r="AC20" s="84"/>
      <c r="AD20" s="107">
        <f>'Debt Service'!K45</f>
        <v>107377.77777777778</v>
      </c>
      <c r="AE20" s="107">
        <f t="shared" si="13"/>
        <v>31.782678045812574</v>
      </c>
      <c r="AF20" s="107">
        <f t="shared" si="14"/>
        <v>90.78267804581257</v>
      </c>
      <c r="AG20" s="107">
        <f>((AD20/'Assessed Value'!E6)*'Assessed Value'!G6)/12</f>
        <v>14.4493574364627</v>
      </c>
      <c r="AH20" s="157">
        <f>(AD20/'Assessed Value'!E6)*1000</f>
        <v>0.7290311308287478</v>
      </c>
      <c r="AI20" s="24"/>
      <c r="AJ20" s="58">
        <f>(((AD20+Y20)/'Assessed Value'!E6)*'Assessed Value'!G6)/12</f>
        <v>16.16426172095414</v>
      </c>
      <c r="AK20" s="58">
        <f t="shared" si="15"/>
        <v>94.5547662506372</v>
      </c>
      <c r="AL20" s="58">
        <f t="shared" si="16"/>
        <v>59</v>
      </c>
      <c r="AP20"/>
      <c r="AQ20"/>
      <c r="AS20" s="78">
        <f t="shared" si="17"/>
        <v>280.0716564607739</v>
      </c>
      <c r="AT20" s="79">
        <f t="shared" si="18"/>
        <v>0.4973893558575236</v>
      </c>
      <c r="AU20" s="85">
        <f>(M20/$M$32)*$AU$32</f>
        <v>23339.709646439453</v>
      </c>
      <c r="AV20"/>
      <c r="AW20"/>
      <c r="AX20"/>
      <c r="AY20"/>
      <c r="AZ20"/>
      <c r="BA20"/>
      <c r="BB20"/>
      <c r="BC20"/>
      <c r="BD20"/>
      <c r="BE20"/>
      <c r="BF20"/>
      <c r="BG20"/>
      <c r="BI20"/>
      <c r="BJ20"/>
      <c r="BK20"/>
      <c r="BL20"/>
    </row>
    <row r="21" spans="1:64" ht="13.5" customHeight="1">
      <c r="A21" s="9" t="s">
        <v>32</v>
      </c>
      <c r="B21" s="9">
        <f>VLOOKUP(C21,'Input Data'!$C$2:$D$28,2,FALSE)</f>
        <v>8</v>
      </c>
      <c r="C21" s="9" t="s">
        <v>7</v>
      </c>
      <c r="D21" s="10">
        <v>2210000</v>
      </c>
      <c r="E21" s="10">
        <v>450000</v>
      </c>
      <c r="F21" s="10">
        <v>390000</v>
      </c>
      <c r="G21" s="10">
        <v>1370000</v>
      </c>
      <c r="H21" s="10">
        <f>J21*450</f>
        <v>573750</v>
      </c>
      <c r="I21" s="11">
        <v>265780</v>
      </c>
      <c r="J21" s="11">
        <v>1275</v>
      </c>
      <c r="K21" s="12">
        <v>485</v>
      </c>
      <c r="L21" s="12">
        <v>59</v>
      </c>
      <c r="M21" s="12">
        <f>(K21-L21)+(L21*7/12)</f>
        <v>460.4166666666667</v>
      </c>
      <c r="N21" s="23">
        <f>442*I21/5280</f>
        <v>22249.007575757576</v>
      </c>
      <c r="O21" s="23">
        <f>J21*17</f>
        <v>21675</v>
      </c>
      <c r="P21" s="23">
        <f>39*K21</f>
        <v>18915</v>
      </c>
      <c r="Q21" s="23">
        <v>28800</v>
      </c>
      <c r="R21" s="23">
        <f>(N21+O21+P21+Q21)*1.1</f>
        <v>100802.90833333334</v>
      </c>
      <c r="S21" s="23">
        <f>R21/12/($AB$10*M21)</f>
        <v>36.48974057315234</v>
      </c>
      <c r="T21" s="24">
        <f t="shared" si="0"/>
        <v>59</v>
      </c>
      <c r="U21" s="72">
        <f>R21/((T21-(1-$AE$10)*$V$4-$AE$10*$W$4)*12)</f>
        <v>284.46469221507317</v>
      </c>
      <c r="V21" s="73">
        <f>U21/M21</f>
        <v>0.6178418654445028</v>
      </c>
      <c r="W21" s="69">
        <f t="shared" si="1"/>
        <v>14194.568546925868</v>
      </c>
      <c r="Y21" s="101">
        <f>0.03*(D21-F21-H21)*0.3</f>
        <v>11216.25</v>
      </c>
      <c r="Z21" s="55">
        <f>(Y21/(M21*$AB$10))/12</f>
        <v>4.060180995475113</v>
      </c>
      <c r="AA21" s="55">
        <f>T21+Z21</f>
        <v>63.060180995475115</v>
      </c>
      <c r="AB21" s="102">
        <f>((Y21/'Assessed Value'!E19)*'Assessed Value'!G19)/12</f>
        <v>1.6970373800959955</v>
      </c>
      <c r="AC21" s="84"/>
      <c r="AD21" s="107">
        <f>'Debt Service'!K61</f>
        <v>97422.22222222222</v>
      </c>
      <c r="AE21" s="107">
        <f>AD21/(12*$AB$10*M21)</f>
        <v>35.265962795374556</v>
      </c>
      <c r="AF21" s="107">
        <f>T21+AE21</f>
        <v>94.26596279537455</v>
      </c>
      <c r="AG21" s="107">
        <f>((AD21/'Assessed Value'!E19)*'Assessed Value'!G19)/12</f>
        <v>14.740145125432283</v>
      </c>
      <c r="AH21" s="157">
        <f>(AD21/'Assessed Value'!E19)*1000</f>
        <v>0.764587163288911</v>
      </c>
      <c r="AI21" s="24"/>
      <c r="AJ21" s="58">
        <f>(((AD21+Y21)/'Assessed Value'!E19)*'Assessed Value'!G19)/12</f>
        <v>16.437182505528277</v>
      </c>
      <c r="AK21" s="58">
        <f>T21+Z21+AE21</f>
        <v>98.32614379084967</v>
      </c>
      <c r="AL21" s="58">
        <f>T21</f>
        <v>59</v>
      </c>
      <c r="AP21"/>
      <c r="AQ21"/>
      <c r="AS21" s="78">
        <f>R21/((T21-(1-$AE$10)*$AS$4-$AE$10*$AT$4-$AU$4)*12)</f>
        <v>268.37835019524323</v>
      </c>
      <c r="AT21" s="79">
        <f>AS21/M21</f>
        <v>0.5829032040439671</v>
      </c>
      <c r="AU21" s="85">
        <f>(M21/$M$62)*$AU$62</f>
        <v>16635.926501444777</v>
      </c>
      <c r="AV21"/>
      <c r="AW21"/>
      <c r="AX21"/>
      <c r="AY21"/>
      <c r="AZ21"/>
      <c r="BA21"/>
      <c r="BB21"/>
      <c r="BC21"/>
      <c r="BD21"/>
      <c r="BE21"/>
      <c r="BF21"/>
      <c r="BG21"/>
      <c r="BI21"/>
      <c r="BJ21"/>
      <c r="BK21"/>
      <c r="BL21"/>
    </row>
    <row r="22" spans="1:64" ht="13.5" customHeight="1">
      <c r="A22" s="9" t="s">
        <v>32</v>
      </c>
      <c r="B22" s="9">
        <f>VLOOKUP(C22,'Input Data'!$C$2:$D$28,2,FALSE)</f>
        <v>11</v>
      </c>
      <c r="C22" s="363" t="s">
        <v>9</v>
      </c>
      <c r="D22" s="364">
        <v>2150000</v>
      </c>
      <c r="E22" s="364">
        <v>450000</v>
      </c>
      <c r="F22" s="364">
        <v>320000</v>
      </c>
      <c r="G22" s="364">
        <v>1380000</v>
      </c>
      <c r="H22" s="364">
        <f t="shared" si="2"/>
        <v>595800</v>
      </c>
      <c r="I22" s="365">
        <v>211266</v>
      </c>
      <c r="J22" s="365">
        <v>1324</v>
      </c>
      <c r="K22" s="366">
        <v>598</v>
      </c>
      <c r="L22" s="366">
        <v>158</v>
      </c>
      <c r="M22" s="366">
        <f t="shared" si="3"/>
        <v>532.1666666666666</v>
      </c>
      <c r="N22" s="348">
        <f t="shared" si="4"/>
        <v>17685.525</v>
      </c>
      <c r="O22" s="348">
        <f t="shared" si="5"/>
        <v>22508</v>
      </c>
      <c r="P22" s="348">
        <f t="shared" si="6"/>
        <v>23322</v>
      </c>
      <c r="Q22" s="348">
        <v>28800</v>
      </c>
      <c r="R22" s="348">
        <f t="shared" si="7"/>
        <v>101547.0775</v>
      </c>
      <c r="S22" s="348">
        <f t="shared" si="8"/>
        <v>31.803030848731602</v>
      </c>
      <c r="T22" s="65">
        <f t="shared" si="0"/>
        <v>59</v>
      </c>
      <c r="U22" s="72">
        <f t="shared" si="9"/>
        <v>286.56472937126085</v>
      </c>
      <c r="V22" s="73">
        <f t="shared" si="10"/>
        <v>0.5384868074624383</v>
      </c>
      <c r="W22" s="69">
        <f t="shared" si="1"/>
        <v>16406.609002835943</v>
      </c>
      <c r="Y22" s="101">
        <f t="shared" si="19"/>
        <v>11107.8</v>
      </c>
      <c r="Z22" s="55">
        <f t="shared" si="11"/>
        <v>3.4787973692452243</v>
      </c>
      <c r="AA22" s="55">
        <f t="shared" si="12"/>
        <v>62.47879736924522</v>
      </c>
      <c r="AB22" s="102">
        <f>((Y22/'Assessed Value'!E7)*'Assessed Value'!G7)/12</f>
        <v>1.4547473401764812</v>
      </c>
      <c r="AC22" s="67"/>
      <c r="AD22" s="107">
        <f>'Debt Service'!K77</f>
        <v>98133.33333333334</v>
      </c>
      <c r="AE22" s="107">
        <f t="shared" si="13"/>
        <v>30.733897066499637</v>
      </c>
      <c r="AF22" s="107">
        <f t="shared" si="14"/>
        <v>89.73389706649964</v>
      </c>
      <c r="AG22" s="107">
        <f>((AD22/'Assessed Value'!E7)*'Assessed Value'!G7)/12</f>
        <v>12.85215845165728</v>
      </c>
      <c r="AH22" s="157">
        <f>(AD22/'Assessed Value'!E7)*1000</f>
        <v>0.6851690565859085</v>
      </c>
      <c r="AI22" s="65"/>
      <c r="AJ22" s="58">
        <f>(((AD22+Y22)/'Assessed Value'!E7)*'Assessed Value'!G7)/12</f>
        <v>14.306905791833762</v>
      </c>
      <c r="AK22" s="58">
        <f t="shared" si="15"/>
        <v>93.21269443574485</v>
      </c>
      <c r="AL22" s="114">
        <f t="shared" si="16"/>
        <v>59</v>
      </c>
      <c r="AP22"/>
      <c r="AQ22"/>
      <c r="AS22" s="78">
        <f t="shared" si="17"/>
        <v>270.35963125665603</v>
      </c>
      <c r="AT22" s="79">
        <f t="shared" si="18"/>
        <v>0.5080356365612078</v>
      </c>
      <c r="AU22" s="85">
        <f aca="true" t="shared" si="20" ref="AU22:AU29">(M22/$M$32)*$AU$32</f>
        <v>22058.219002835922</v>
      </c>
      <c r="AV22"/>
      <c r="AW22"/>
      <c r="AX22"/>
      <c r="AY22"/>
      <c r="AZ22"/>
      <c r="BA22"/>
      <c r="BB22"/>
      <c r="BC22"/>
      <c r="BD22"/>
      <c r="BE22"/>
      <c r="BF22"/>
      <c r="BG22"/>
      <c r="BI22"/>
      <c r="BJ22"/>
      <c r="BK22"/>
      <c r="BL22"/>
    </row>
    <row r="23" spans="1:64" ht="13.5" customHeight="1">
      <c r="A23" s="9" t="s">
        <v>32</v>
      </c>
      <c r="B23" s="9">
        <f>VLOOKUP(C23,'Input Data'!$C$2:$D$28,2,FALSE)</f>
        <v>13</v>
      </c>
      <c r="C23" s="9" t="s">
        <v>10</v>
      </c>
      <c r="D23" s="10">
        <v>2240000</v>
      </c>
      <c r="E23" s="10">
        <v>440000</v>
      </c>
      <c r="F23" s="10">
        <v>380000</v>
      </c>
      <c r="G23" s="10">
        <v>1420000</v>
      </c>
      <c r="H23" s="10">
        <f t="shared" si="2"/>
        <v>703350</v>
      </c>
      <c r="I23" s="11">
        <v>271827</v>
      </c>
      <c r="J23" s="11">
        <v>1563</v>
      </c>
      <c r="K23" s="12">
        <v>402</v>
      </c>
      <c r="L23" s="12">
        <v>70</v>
      </c>
      <c r="M23" s="366">
        <f t="shared" si="3"/>
        <v>372.8333333333333</v>
      </c>
      <c r="N23" s="23">
        <f t="shared" si="4"/>
        <v>22755.21477272727</v>
      </c>
      <c r="O23" s="23">
        <f t="shared" si="5"/>
        <v>26571</v>
      </c>
      <c r="P23" s="23">
        <f t="shared" si="6"/>
        <v>15678</v>
      </c>
      <c r="Q23" s="23">
        <v>28800</v>
      </c>
      <c r="R23" s="23">
        <f t="shared" si="7"/>
        <v>103184.63625</v>
      </c>
      <c r="S23" s="23">
        <f t="shared" si="8"/>
        <v>46.12634611086276</v>
      </c>
      <c r="T23" s="24">
        <f t="shared" si="0"/>
        <v>59</v>
      </c>
      <c r="U23" s="72">
        <f t="shared" si="9"/>
        <v>291.1859020487639</v>
      </c>
      <c r="V23" s="73">
        <f t="shared" si="10"/>
        <v>0.7810082307968634</v>
      </c>
      <c r="W23" s="69">
        <f t="shared" si="1"/>
        <v>11494.389082162232</v>
      </c>
      <c r="Y23" s="101">
        <f t="shared" si="19"/>
        <v>10409.85</v>
      </c>
      <c r="Z23" s="55">
        <f t="shared" si="11"/>
        <v>4.653486812695575</v>
      </c>
      <c r="AA23" s="55">
        <f t="shared" si="12"/>
        <v>63.653486812695576</v>
      </c>
      <c r="AB23" s="102">
        <f>((Y23/'Assessed Value'!E8)*'Assessed Value'!G8)/12</f>
        <v>1.123935011846126</v>
      </c>
      <c r="AC23" s="84"/>
      <c r="AD23" s="107">
        <f>'Debt Service'!K85</f>
        <v>100977.77777777778</v>
      </c>
      <c r="AE23" s="107">
        <f t="shared" si="13"/>
        <v>45.139820195698604</v>
      </c>
      <c r="AF23" s="107">
        <f t="shared" si="14"/>
        <v>104.1398201956986</v>
      </c>
      <c r="AG23" s="107">
        <f>((AD23/'Assessed Value'!E8)*'Assessed Value'!G8)/12</f>
        <v>10.902410684386629</v>
      </c>
      <c r="AH23" s="157">
        <f>(AD23/'Assessed Value'!E8)*1000</f>
        <v>1.1122805478006175</v>
      </c>
      <c r="AI23" s="24"/>
      <c r="AJ23" s="58">
        <f>(((AD23+Y23)/'Assessed Value'!E8)*'Assessed Value'!G8)/12</f>
        <v>12.026345696232754</v>
      </c>
      <c r="AK23" s="58">
        <f t="shared" si="15"/>
        <v>108.79330700839418</v>
      </c>
      <c r="AL23" s="58">
        <f t="shared" si="16"/>
        <v>59</v>
      </c>
      <c r="AP23"/>
      <c r="AQ23"/>
      <c r="AS23" s="78">
        <f t="shared" si="17"/>
        <v>274.7194788338658</v>
      </c>
      <c r="AT23" s="79">
        <f t="shared" si="18"/>
        <v>0.7368425896303956</v>
      </c>
      <c r="AU23" s="85">
        <f t="shared" si="20"/>
        <v>15453.879082162215</v>
      </c>
      <c r="AV23"/>
      <c r="AW23"/>
      <c r="AX23"/>
      <c r="AY23"/>
      <c r="AZ23"/>
      <c r="BA23"/>
      <c r="BB23"/>
      <c r="BC23"/>
      <c r="BD23"/>
      <c r="BE23"/>
      <c r="BF23"/>
      <c r="BG23"/>
      <c r="BI23"/>
      <c r="BJ23"/>
      <c r="BK23"/>
      <c r="BL23"/>
    </row>
    <row r="24" spans="1:64" ht="13.5" customHeight="1">
      <c r="A24" s="9" t="s">
        <v>32</v>
      </c>
      <c r="B24" s="9">
        <f>VLOOKUP(C24,'Input Data'!$C$2:$D$28,2,FALSE)</f>
        <v>19</v>
      </c>
      <c r="C24" s="9" t="s">
        <v>13</v>
      </c>
      <c r="D24" s="10">
        <v>700000</v>
      </c>
      <c r="E24" s="10">
        <v>150000</v>
      </c>
      <c r="F24" s="10">
        <v>130000</v>
      </c>
      <c r="G24" s="10">
        <v>420000</v>
      </c>
      <c r="H24" s="10">
        <f t="shared" si="2"/>
        <v>102600</v>
      </c>
      <c r="I24" s="11">
        <v>53093</v>
      </c>
      <c r="J24" s="11">
        <v>228</v>
      </c>
      <c r="K24" s="12">
        <v>112</v>
      </c>
      <c r="L24" s="12">
        <v>8</v>
      </c>
      <c r="M24" s="12">
        <f t="shared" si="3"/>
        <v>108.66666666666667</v>
      </c>
      <c r="N24" s="23">
        <f t="shared" si="4"/>
        <v>4444.527651515152</v>
      </c>
      <c r="O24" s="23">
        <f t="shared" si="5"/>
        <v>3876</v>
      </c>
      <c r="P24" s="23">
        <f t="shared" si="6"/>
        <v>4368</v>
      </c>
      <c r="Q24" s="23">
        <v>28800</v>
      </c>
      <c r="R24" s="23">
        <f t="shared" si="7"/>
        <v>45637.38041666667</v>
      </c>
      <c r="S24" s="23">
        <f t="shared" si="8"/>
        <v>69.99598223415133</v>
      </c>
      <c r="T24" s="24">
        <f t="shared" si="0"/>
        <v>59</v>
      </c>
      <c r="U24" s="72">
        <f t="shared" si="9"/>
        <v>128.7881826861572</v>
      </c>
      <c r="V24" s="73">
        <f t="shared" si="10"/>
        <v>1.1851673253327348</v>
      </c>
      <c r="W24" s="69">
        <f t="shared" si="1"/>
        <v>3350.175092342323</v>
      </c>
      <c r="Y24" s="101">
        <f t="shared" si="19"/>
        <v>4206.599999999999</v>
      </c>
      <c r="Z24" s="55">
        <f t="shared" si="11"/>
        <v>6.451840490797545</v>
      </c>
      <c r="AA24" s="55">
        <f t="shared" si="12"/>
        <v>65.45184049079755</v>
      </c>
      <c r="AB24" s="102">
        <f>((Y24/'Assessed Value'!E9)*'Assessed Value'!G9)/12</f>
        <v>2.493006551301559</v>
      </c>
      <c r="AC24" s="84"/>
      <c r="AD24" s="107">
        <f>'Debt Service'!K109</f>
        <v>29866.666666666668</v>
      </c>
      <c r="AE24" s="107">
        <f t="shared" si="13"/>
        <v>45.807770961145195</v>
      </c>
      <c r="AF24" s="107">
        <f t="shared" si="14"/>
        <v>104.8077709611452</v>
      </c>
      <c r="AG24" s="107">
        <f>((AD24/'Assessed Value'!E9)*'Assessed Value'!G9)/12</f>
        <v>17.700231936846837</v>
      </c>
      <c r="AH24" s="157">
        <f>(AD24/'Assessed Value'!E9)*1000</f>
        <v>0.7278624849407201</v>
      </c>
      <c r="AI24" s="24"/>
      <c r="AJ24" s="58">
        <f>(((AD24+Y24)/'Assessed Value'!E9)*'Assessed Value'!G9)/12</f>
        <v>20.1932384881484</v>
      </c>
      <c r="AK24" s="58">
        <f t="shared" si="15"/>
        <v>111.25961145194275</v>
      </c>
      <c r="AL24" s="58">
        <f t="shared" si="16"/>
        <v>59</v>
      </c>
      <c r="AP24"/>
      <c r="AQ24"/>
      <c r="AS24" s="78">
        <f t="shared" si="17"/>
        <v>121.50527267483139</v>
      </c>
      <c r="AT24" s="79">
        <f t="shared" si="18"/>
        <v>1.1181466810567304</v>
      </c>
      <c r="AU24" s="85">
        <f t="shared" si="20"/>
        <v>4504.215092342318</v>
      </c>
      <c r="AV24"/>
      <c r="AW24"/>
      <c r="AX24"/>
      <c r="AY24"/>
      <c r="AZ24"/>
      <c r="BA24"/>
      <c r="BB24"/>
      <c r="BC24"/>
      <c r="BD24"/>
      <c r="BE24"/>
      <c r="BF24"/>
      <c r="BG24"/>
      <c r="BI24"/>
      <c r="BJ24"/>
      <c r="BK24"/>
      <c r="BL24"/>
    </row>
    <row r="25" spans="1:64" ht="13.5" customHeight="1">
      <c r="A25" s="9" t="s">
        <v>32</v>
      </c>
      <c r="B25" s="9">
        <f>VLOOKUP(C25,'Input Data'!$C$2:$D$28,2,FALSE)</f>
        <v>21</v>
      </c>
      <c r="C25" s="363" t="s">
        <v>15</v>
      </c>
      <c r="D25" s="364">
        <v>2140000</v>
      </c>
      <c r="E25" s="364">
        <v>400000</v>
      </c>
      <c r="F25" s="364">
        <v>350000</v>
      </c>
      <c r="G25" s="364">
        <v>1390000</v>
      </c>
      <c r="H25" s="364">
        <f t="shared" si="2"/>
        <v>580050</v>
      </c>
      <c r="I25" s="365">
        <v>218671</v>
      </c>
      <c r="J25" s="365">
        <v>1289</v>
      </c>
      <c r="K25" s="366">
        <v>465</v>
      </c>
      <c r="L25" s="366">
        <v>32</v>
      </c>
      <c r="M25" s="366">
        <f t="shared" si="3"/>
        <v>451.6666666666667</v>
      </c>
      <c r="N25" s="348">
        <f t="shared" si="4"/>
        <v>18305.413257575758</v>
      </c>
      <c r="O25" s="348">
        <f t="shared" si="5"/>
        <v>21913</v>
      </c>
      <c r="P25" s="348">
        <f t="shared" si="6"/>
        <v>18135</v>
      </c>
      <c r="Q25" s="348">
        <v>28800</v>
      </c>
      <c r="R25" s="348">
        <f t="shared" si="7"/>
        <v>95868.75458333334</v>
      </c>
      <c r="S25" s="348">
        <f t="shared" si="8"/>
        <v>35.37592420049201</v>
      </c>
      <c r="T25" s="65">
        <f t="shared" si="0"/>
        <v>59</v>
      </c>
      <c r="U25" s="72">
        <f t="shared" si="9"/>
        <v>270.54056491515223</v>
      </c>
      <c r="V25" s="73">
        <f t="shared" si="10"/>
        <v>0.5989828005501525</v>
      </c>
      <c r="W25" s="69">
        <f t="shared" si="1"/>
        <v>13924.807515717323</v>
      </c>
      <c r="Y25" s="101">
        <f t="shared" si="19"/>
        <v>10889.55</v>
      </c>
      <c r="Z25" s="55">
        <f t="shared" si="11"/>
        <v>4.018284132841328</v>
      </c>
      <c r="AA25" s="55">
        <f t="shared" si="12"/>
        <v>63.01828413284133</v>
      </c>
      <c r="AB25" s="102">
        <f>((Y25/'Assessed Value'!E10)*'Assessed Value'!G10)/12</f>
        <v>1.787651468653049</v>
      </c>
      <c r="AC25" s="67"/>
      <c r="AD25" s="107">
        <f>'Debt Service'!K125</f>
        <v>98844.44444444444</v>
      </c>
      <c r="AE25" s="107">
        <f t="shared" si="13"/>
        <v>36.47396473964739</v>
      </c>
      <c r="AF25" s="107">
        <f t="shared" si="14"/>
        <v>95.47396473964739</v>
      </c>
      <c r="AG25" s="107">
        <f>((AD25/'Assessed Value'!E10)*'Assessed Value'!G10)/12</f>
        <v>16.22651223230582</v>
      </c>
      <c r="AH25" s="157">
        <f>(AD25/'Assessed Value'!E10)*1000</f>
        <v>0.934368361399969</v>
      </c>
      <c r="AI25" s="65"/>
      <c r="AJ25" s="58">
        <f>(((AD25+Y25)/'Assessed Value'!E10)*'Assessed Value'!G10)/12</f>
        <v>18.014163700958864</v>
      </c>
      <c r="AK25" s="58">
        <f t="shared" si="15"/>
        <v>99.49224887248872</v>
      </c>
      <c r="AL25" s="58">
        <f t="shared" si="16"/>
        <v>59</v>
      </c>
      <c r="AP25"/>
      <c r="AQ25"/>
      <c r="AS25" s="78">
        <f t="shared" si="17"/>
        <v>255.2416256212283</v>
      </c>
      <c r="AT25" s="79">
        <f t="shared" si="18"/>
        <v>0.5651106102315018</v>
      </c>
      <c r="AU25" s="85">
        <f t="shared" si="20"/>
        <v>18721.507515717305</v>
      </c>
      <c r="AV25"/>
      <c r="AW25"/>
      <c r="AX25"/>
      <c r="AY25"/>
      <c r="AZ25"/>
      <c r="BA25"/>
      <c r="BB25"/>
      <c r="BC25"/>
      <c r="BD25"/>
      <c r="BE25"/>
      <c r="BF25"/>
      <c r="BG25"/>
      <c r="BI25"/>
      <c r="BJ25"/>
      <c r="BK25"/>
      <c r="BL25"/>
    </row>
    <row r="26" spans="1:64" ht="13.5" customHeight="1">
      <c r="A26" s="9" t="s">
        <v>32</v>
      </c>
      <c r="B26" s="9">
        <f>VLOOKUP(C26,'Input Data'!$C$2:$D$28,2,FALSE)</f>
        <v>25</v>
      </c>
      <c r="C26" s="9" t="s">
        <v>17</v>
      </c>
      <c r="D26" s="10">
        <v>1760000</v>
      </c>
      <c r="E26" s="10">
        <v>350000</v>
      </c>
      <c r="F26" s="10">
        <v>300000</v>
      </c>
      <c r="G26" s="10">
        <v>1110000</v>
      </c>
      <c r="H26" s="10">
        <f t="shared" si="2"/>
        <v>440550</v>
      </c>
      <c r="I26" s="11">
        <v>206909</v>
      </c>
      <c r="J26" s="11">
        <v>979</v>
      </c>
      <c r="K26" s="12">
        <v>329</v>
      </c>
      <c r="L26" s="12">
        <v>46</v>
      </c>
      <c r="M26" s="12">
        <f t="shared" si="3"/>
        <v>309.8333333333333</v>
      </c>
      <c r="N26" s="23">
        <f t="shared" si="4"/>
        <v>17320.791287878787</v>
      </c>
      <c r="O26" s="23">
        <f t="shared" si="5"/>
        <v>16643</v>
      </c>
      <c r="P26" s="23">
        <f t="shared" si="6"/>
        <v>12831</v>
      </c>
      <c r="Q26" s="23">
        <v>28800</v>
      </c>
      <c r="R26" s="23">
        <f t="shared" si="7"/>
        <v>83154.27041666668</v>
      </c>
      <c r="S26" s="23">
        <f t="shared" si="8"/>
        <v>44.73064573247267</v>
      </c>
      <c r="T26" s="24">
        <f t="shared" si="0"/>
        <v>59</v>
      </c>
      <c r="U26" s="72">
        <f t="shared" si="9"/>
        <v>234.66043124694286</v>
      </c>
      <c r="V26" s="73">
        <f t="shared" si="10"/>
        <v>0.7573763246270345</v>
      </c>
      <c r="W26" s="69">
        <f t="shared" si="1"/>
        <v>9552.109657460702</v>
      </c>
      <c r="Y26" s="101">
        <f t="shared" si="19"/>
        <v>9175.05</v>
      </c>
      <c r="Z26" s="55">
        <f t="shared" si="11"/>
        <v>4.935476062399139</v>
      </c>
      <c r="AA26" s="55">
        <f t="shared" si="12"/>
        <v>63.93547606239914</v>
      </c>
      <c r="AB26" s="102">
        <f>((Y26/'Assessed Value'!E12)*'Assessed Value'!G12)/12</f>
        <v>1.8124719043788104</v>
      </c>
      <c r="AC26" s="84"/>
      <c r="AD26" s="107">
        <f>'Debt Service'!K149</f>
        <v>78933.33333333333</v>
      </c>
      <c r="AE26" s="107">
        <f t="shared" si="13"/>
        <v>42.460103998565536</v>
      </c>
      <c r="AF26" s="107">
        <f t="shared" si="14"/>
        <v>101.46010399856553</v>
      </c>
      <c r="AG26" s="107">
        <f>((AD26/'Assessed Value'!E12)*'Assessed Value'!G12)/12</f>
        <v>15.59277050104731</v>
      </c>
      <c r="AH26" s="157">
        <f>(AD26/'Assessed Value'!E12)*1000</f>
        <v>0.9169712788718842</v>
      </c>
      <c r="AI26" s="24"/>
      <c r="AJ26" s="58">
        <f>(((AD26+Y26)/'Assessed Value'!E12)*'Assessed Value'!G12)/12</f>
        <v>17.40524240542612</v>
      </c>
      <c r="AK26" s="58">
        <f t="shared" si="15"/>
        <v>106.39558006096468</v>
      </c>
      <c r="AL26" s="58">
        <f t="shared" si="16"/>
        <v>59</v>
      </c>
      <c r="AP26"/>
      <c r="AQ26"/>
      <c r="AS26" s="78">
        <f t="shared" si="17"/>
        <v>221.39049631700397</v>
      </c>
      <c r="AT26" s="79">
        <f t="shared" si="18"/>
        <v>0.7145470564292759</v>
      </c>
      <c r="AU26" s="85">
        <f t="shared" si="20"/>
        <v>12842.539657460688</v>
      </c>
      <c r="AV26"/>
      <c r="AW26"/>
      <c r="AX26"/>
      <c r="AY26"/>
      <c r="AZ26"/>
      <c r="BA26"/>
      <c r="BB26"/>
      <c r="BC26"/>
      <c r="BD26"/>
      <c r="BE26"/>
      <c r="BF26"/>
      <c r="BG26"/>
      <c r="BI26"/>
      <c r="BJ26"/>
      <c r="BK26"/>
      <c r="BL26"/>
    </row>
    <row r="27" spans="1:64" ht="13.5" customHeight="1">
      <c r="A27" s="9" t="s">
        <v>32</v>
      </c>
      <c r="B27" s="9">
        <f>VLOOKUP(C27,'Input Data'!$C$2:$D$28,2,FALSE)</f>
        <v>27</v>
      </c>
      <c r="C27" s="9" t="s">
        <v>18</v>
      </c>
      <c r="D27" s="10">
        <v>1300000</v>
      </c>
      <c r="E27" s="10">
        <v>220000</v>
      </c>
      <c r="F27" s="10">
        <v>220000</v>
      </c>
      <c r="G27" s="10">
        <v>860000</v>
      </c>
      <c r="H27" s="10">
        <f t="shared" si="2"/>
        <v>423900</v>
      </c>
      <c r="I27" s="11">
        <v>164124</v>
      </c>
      <c r="J27" s="11">
        <v>942</v>
      </c>
      <c r="K27" s="12">
        <v>227</v>
      </c>
      <c r="L27" s="12">
        <v>50</v>
      </c>
      <c r="M27" s="12">
        <f t="shared" si="3"/>
        <v>206.16666666666666</v>
      </c>
      <c r="N27" s="23">
        <f t="shared" si="4"/>
        <v>13739.168181818182</v>
      </c>
      <c r="O27" s="23">
        <f t="shared" si="5"/>
        <v>16014</v>
      </c>
      <c r="P27" s="23">
        <f t="shared" si="6"/>
        <v>8853</v>
      </c>
      <c r="Q27" s="23">
        <v>28800</v>
      </c>
      <c r="R27" s="23">
        <f t="shared" si="7"/>
        <v>74146.785</v>
      </c>
      <c r="S27" s="23">
        <f t="shared" si="8"/>
        <v>59.94081244947454</v>
      </c>
      <c r="T27" s="24">
        <f t="shared" si="0"/>
        <v>59</v>
      </c>
      <c r="U27" s="72">
        <f t="shared" si="9"/>
        <v>209.2414070436844</v>
      </c>
      <c r="V27" s="73">
        <f t="shared" si="10"/>
        <v>1.01491385793218</v>
      </c>
      <c r="W27" s="69">
        <f t="shared" si="1"/>
        <v>6356.083725808977</v>
      </c>
      <c r="Y27" s="101">
        <f t="shared" si="19"/>
        <v>5904.9</v>
      </c>
      <c r="Z27" s="55">
        <f t="shared" si="11"/>
        <v>4.773565076798707</v>
      </c>
      <c r="AA27" s="55">
        <f t="shared" si="12"/>
        <v>63.773565076798704</v>
      </c>
      <c r="AB27" s="102">
        <f>((Y27/'Assessed Value'!E13)*'Assessed Value'!G13)/12</f>
        <v>0.3773824805221122</v>
      </c>
      <c r="AC27" s="84"/>
      <c r="AD27" s="107">
        <f>'Debt Service'!K157</f>
        <v>61155.55555555556</v>
      </c>
      <c r="AE27" s="107">
        <f t="shared" si="13"/>
        <v>49.438605946285826</v>
      </c>
      <c r="AF27" s="107">
        <f t="shared" si="14"/>
        <v>108.43860594628583</v>
      </c>
      <c r="AG27" s="107">
        <f>((AD27/'Assessed Value'!E13)*'Assessed Value'!G13)/12</f>
        <v>3.9084548854787378</v>
      </c>
      <c r="AH27" s="157">
        <f>(AD27/'Assessed Value'!E13)*1000</f>
        <v>0.20707315992520528</v>
      </c>
      <c r="AI27" s="24"/>
      <c r="AJ27" s="58">
        <f>(((AD27+Y27)/'Assessed Value'!E13)*'Assessed Value'!G13)/12</f>
        <v>4.28583736600085</v>
      </c>
      <c r="AK27" s="58">
        <f t="shared" si="15"/>
        <v>113.21217102308452</v>
      </c>
      <c r="AL27" s="58">
        <f t="shared" si="16"/>
        <v>59</v>
      </c>
      <c r="AP27"/>
      <c r="AQ27"/>
      <c r="AS27" s="78">
        <f t="shared" si="17"/>
        <v>197.40890575079874</v>
      </c>
      <c r="AT27" s="79">
        <f t="shared" si="18"/>
        <v>0.9575209656465582</v>
      </c>
      <c r="AU27" s="85">
        <f t="shared" si="20"/>
        <v>8545.573725808967</v>
      </c>
      <c r="AV27"/>
      <c r="AW27"/>
      <c r="AX27"/>
      <c r="AY27"/>
      <c r="AZ27"/>
      <c r="BA27"/>
      <c r="BB27"/>
      <c r="BC27"/>
      <c r="BD27"/>
      <c r="BE27"/>
      <c r="BF27"/>
      <c r="BG27"/>
      <c r="BI27"/>
      <c r="BJ27"/>
      <c r="BK27"/>
      <c r="BL27"/>
    </row>
    <row r="28" spans="1:64" ht="13.5" customHeight="1">
      <c r="A28" s="9" t="s">
        <v>32</v>
      </c>
      <c r="B28" s="9" t="e">
        <f>VLOOKUP(C28,'Input Data'!$C$2:$D$28,2,FALSE)</f>
        <v>#N/A</v>
      </c>
      <c r="C28" s="9" t="s">
        <v>20</v>
      </c>
      <c r="D28" s="10">
        <v>2440000</v>
      </c>
      <c r="E28" s="10">
        <v>510000</v>
      </c>
      <c r="F28" s="10">
        <v>360000</v>
      </c>
      <c r="G28" s="10">
        <v>1570000</v>
      </c>
      <c r="H28" s="10">
        <f t="shared" si="2"/>
        <v>666450</v>
      </c>
      <c r="I28" s="11">
        <v>227670</v>
      </c>
      <c r="J28" s="11">
        <v>1481</v>
      </c>
      <c r="K28" s="12">
        <v>866</v>
      </c>
      <c r="L28" s="12">
        <v>108</v>
      </c>
      <c r="M28" s="12">
        <f t="shared" si="3"/>
        <v>821</v>
      </c>
      <c r="N28" s="23">
        <f t="shared" si="4"/>
        <v>19058.738636363636</v>
      </c>
      <c r="O28" s="23">
        <f t="shared" si="5"/>
        <v>25177</v>
      </c>
      <c r="P28" s="23">
        <f t="shared" si="6"/>
        <v>33774</v>
      </c>
      <c r="Q28" s="23">
        <v>28800</v>
      </c>
      <c r="R28" s="23">
        <f t="shared" si="7"/>
        <v>117490.71250000001</v>
      </c>
      <c r="S28" s="23">
        <f t="shared" si="8"/>
        <v>23.85113936256598</v>
      </c>
      <c r="T28" s="24">
        <f t="shared" si="0"/>
        <v>59</v>
      </c>
      <c r="U28" s="72">
        <f t="shared" si="9"/>
        <v>331.5574909696354</v>
      </c>
      <c r="V28" s="73">
        <f t="shared" si="10"/>
        <v>0.4038459086110054</v>
      </c>
      <c r="W28" s="69">
        <f t="shared" si="1"/>
        <v>25311.292185396134</v>
      </c>
      <c r="Y28" s="101">
        <f t="shared" si="19"/>
        <v>12721.949999999999</v>
      </c>
      <c r="Z28" s="55">
        <f t="shared" si="11"/>
        <v>2.5826126674786845</v>
      </c>
      <c r="AA28" s="55">
        <f t="shared" si="12"/>
        <v>61.582612667478685</v>
      </c>
      <c r="AB28" s="102">
        <f>((Y28/'Assessed Value'!E14)*'Assessed Value'!G14)/12</f>
        <v>1.1884323135111017</v>
      </c>
      <c r="AC28" s="84"/>
      <c r="AD28" s="107">
        <f>'Debt Service'!K173</f>
        <v>111644.44444444444</v>
      </c>
      <c r="AE28" s="107">
        <f t="shared" si="13"/>
        <v>22.66432083728064</v>
      </c>
      <c r="AF28" s="107">
        <f t="shared" si="14"/>
        <v>81.66432083728064</v>
      </c>
      <c r="AG28" s="107">
        <f>((AD28/'Assessed Value'!E14)*'Assessed Value'!G14)/12</f>
        <v>10.429365419748764</v>
      </c>
      <c r="AH28" s="157">
        <f>(AD28/'Assessed Value'!E14)*1000</f>
        <v>0.5247437790183623</v>
      </c>
      <c r="AI28" s="24"/>
      <c r="AJ28" s="58">
        <f>(((AD28+Y28)/'Assessed Value'!E14)*'Assessed Value'!G14)/12</f>
        <v>11.617797733259865</v>
      </c>
      <c r="AK28" s="58">
        <f t="shared" si="15"/>
        <v>84.24693350475933</v>
      </c>
      <c r="AL28" s="58">
        <f t="shared" si="16"/>
        <v>59</v>
      </c>
      <c r="AP28"/>
      <c r="AQ28"/>
      <c r="AS28" s="78">
        <f t="shared" si="17"/>
        <v>312.80807374866885</v>
      </c>
      <c r="AT28" s="79">
        <f t="shared" si="18"/>
        <v>0.381008616015431</v>
      </c>
      <c r="AU28" s="85">
        <f t="shared" si="20"/>
        <v>34030.3121853961</v>
      </c>
      <c r="AV28"/>
      <c r="AW28"/>
      <c r="AX28"/>
      <c r="AY28"/>
      <c r="AZ28"/>
      <c r="BA28"/>
      <c r="BB28"/>
      <c r="BC28"/>
      <c r="BD28"/>
      <c r="BE28"/>
      <c r="BF28"/>
      <c r="BG28"/>
      <c r="BI28"/>
      <c r="BJ28"/>
      <c r="BK28"/>
      <c r="BL28"/>
    </row>
    <row r="29" spans="1:64" ht="13.5" customHeight="1">
      <c r="A29" s="9" t="s">
        <v>32</v>
      </c>
      <c r="B29" s="9" t="e">
        <f>VLOOKUP(C29,'Input Data'!$C$2:$D$28,2,FALSE)</f>
        <v>#N/A</v>
      </c>
      <c r="C29" s="9" t="s">
        <v>23</v>
      </c>
      <c r="D29" s="10">
        <v>1260000</v>
      </c>
      <c r="E29" s="10">
        <v>270000</v>
      </c>
      <c r="F29" s="10">
        <v>220000</v>
      </c>
      <c r="G29" s="10">
        <v>770000</v>
      </c>
      <c r="H29" s="10">
        <f t="shared" si="2"/>
        <v>252900</v>
      </c>
      <c r="I29" s="11">
        <v>126929</v>
      </c>
      <c r="J29" s="11">
        <v>562</v>
      </c>
      <c r="K29" s="12">
        <v>261</v>
      </c>
      <c r="L29" s="12">
        <v>26</v>
      </c>
      <c r="M29" s="12">
        <f t="shared" si="3"/>
        <v>250.16666666666666</v>
      </c>
      <c r="N29" s="23">
        <f t="shared" si="4"/>
        <v>10625.495833333332</v>
      </c>
      <c r="O29" s="23">
        <f t="shared" si="5"/>
        <v>9554</v>
      </c>
      <c r="P29" s="23">
        <f t="shared" si="6"/>
        <v>10179</v>
      </c>
      <c r="Q29" s="23">
        <v>28800</v>
      </c>
      <c r="R29" s="23">
        <f t="shared" si="7"/>
        <v>65074.34541666667</v>
      </c>
      <c r="S29" s="23">
        <f t="shared" si="8"/>
        <v>43.353994281590055</v>
      </c>
      <c r="T29" s="24">
        <f t="shared" si="0"/>
        <v>59</v>
      </c>
      <c r="U29" s="72">
        <f t="shared" si="9"/>
        <v>183.63908290062838</v>
      </c>
      <c r="V29" s="73">
        <f t="shared" si="10"/>
        <v>0.7340669536334246</v>
      </c>
      <c r="W29" s="69">
        <f t="shared" si="1"/>
        <v>7712.596339886236</v>
      </c>
      <c r="Y29" s="101">
        <f t="shared" si="19"/>
        <v>7083.9</v>
      </c>
      <c r="Z29" s="55">
        <f t="shared" si="11"/>
        <v>4.719453697534976</v>
      </c>
      <c r="AA29" s="55">
        <f t="shared" si="12"/>
        <v>63.71945369753497</v>
      </c>
      <c r="AB29" s="102">
        <f>((Y29/'Assessed Value'!E15)*'Assessed Value'!G15)/12</f>
        <v>2.1573367955045955</v>
      </c>
      <c r="AC29" s="84"/>
      <c r="AD29" s="107">
        <f>'Debt Service'!K205</f>
        <v>54755.55555555556</v>
      </c>
      <c r="AE29" s="107">
        <f t="shared" si="13"/>
        <v>36.47938411429418</v>
      </c>
      <c r="AF29" s="107">
        <f t="shared" si="14"/>
        <v>95.47938411429418</v>
      </c>
      <c r="AG29" s="107">
        <f>((AD29/'Assessed Value'!E15)*'Assessed Value'!G15)/12</f>
        <v>16.675302412272348</v>
      </c>
      <c r="AH29" s="157">
        <f>(AD29/'Assessed Value'!E15)*1000</f>
        <v>0.6734024622501895</v>
      </c>
      <c r="AI29" s="24"/>
      <c r="AJ29" s="58">
        <f>(((AD29+Y29)/'Assessed Value'!E15)*'Assessed Value'!G15)/12</f>
        <v>18.832639207776946</v>
      </c>
      <c r="AK29" s="58">
        <f t="shared" si="15"/>
        <v>100.19883781182915</v>
      </c>
      <c r="AL29" s="58">
        <f t="shared" si="16"/>
        <v>59</v>
      </c>
      <c r="AP29"/>
      <c r="AQ29"/>
      <c r="AS29" s="78">
        <f t="shared" si="17"/>
        <v>173.25438076854812</v>
      </c>
      <c r="AT29" s="79">
        <f t="shared" si="18"/>
        <v>0.6925558191947293</v>
      </c>
      <c r="AU29" s="85">
        <f t="shared" si="20"/>
        <v>10369.366339886225</v>
      </c>
      <c r="AV29"/>
      <c r="AW29"/>
      <c r="AX29"/>
      <c r="AY29"/>
      <c r="AZ29"/>
      <c r="BA29"/>
      <c r="BB29"/>
      <c r="BC29"/>
      <c r="BD29"/>
      <c r="BE29"/>
      <c r="BF29"/>
      <c r="BG29"/>
      <c r="BI29"/>
      <c r="BJ29"/>
      <c r="BK29"/>
      <c r="BL29"/>
    </row>
    <row r="30" spans="1:47" s="122" customFormat="1" ht="13.5" customHeight="1">
      <c r="A30" s="363" t="s">
        <v>32</v>
      </c>
      <c r="B30" s="363" t="e">
        <f>VLOOKUP(C30,'Input Data'!$C$2:$D$28,2,FALSE)</f>
        <v>#N/A</v>
      </c>
      <c r="C30" s="363" t="s">
        <v>24</v>
      </c>
      <c r="D30" s="364">
        <v>1900000</v>
      </c>
      <c r="E30" s="364">
        <v>410000</v>
      </c>
      <c r="F30" s="364">
        <v>320000</v>
      </c>
      <c r="G30" s="364">
        <v>1170000</v>
      </c>
      <c r="H30" s="364">
        <f>J30*450</f>
        <v>517500</v>
      </c>
      <c r="I30" s="365">
        <v>209038</v>
      </c>
      <c r="J30" s="365">
        <v>1150</v>
      </c>
      <c r="K30" s="366">
        <v>436</v>
      </c>
      <c r="L30" s="366">
        <v>17</v>
      </c>
      <c r="M30" s="366">
        <f>(K30-L30)+(L30*7/12)</f>
        <v>428.9166666666667</v>
      </c>
      <c r="N30" s="348">
        <f>442*I30/5280</f>
        <v>17499.014393939393</v>
      </c>
      <c r="O30" s="348">
        <f>J30*17</f>
        <v>19550</v>
      </c>
      <c r="P30" s="348">
        <f>39*K30</f>
        <v>17004</v>
      </c>
      <c r="Q30" s="348">
        <v>28800</v>
      </c>
      <c r="R30" s="348">
        <f>(N30+O30+P30+Q30)*1.1</f>
        <v>91138.31583333334</v>
      </c>
      <c r="S30" s="348">
        <f>R30/12/($AB$10*M30)</f>
        <v>35.414150314098826</v>
      </c>
      <c r="T30" s="65">
        <f t="shared" si="0"/>
        <v>59</v>
      </c>
      <c r="U30" s="72">
        <f>R30/((T30-(1-$AE$10)*$V$4-$AE$10*$W$4)*12)</f>
        <v>257.19131909169585</v>
      </c>
      <c r="V30" s="73">
        <f>U30/M30</f>
        <v>0.5996300425685545</v>
      </c>
      <c r="W30" s="69">
        <f t="shared" si="1"/>
        <v>13223.428834575103</v>
      </c>
      <c r="X30" s="65"/>
      <c r="Y30" s="101">
        <f>0.03*(D30-F30-H30)*0.3</f>
        <v>9562.5</v>
      </c>
      <c r="Z30" s="55">
        <f>(Y30/(M30*$AB$10))/12</f>
        <v>3.7157567515057313</v>
      </c>
      <c r="AA30" s="55">
        <f>T30+Z30</f>
        <v>62.71575675150573</v>
      </c>
      <c r="AB30" s="102">
        <f>((Y30/'Assessed Value'!E23)*'Assessed Value'!G23)/12</f>
        <v>1.4812764068981163</v>
      </c>
      <c r="AC30" s="67"/>
      <c r="AD30" s="107">
        <f>'Debt Service'!K213</f>
        <v>83200</v>
      </c>
      <c r="AE30" s="107">
        <f>AD30/(12*$AB$10*M30)</f>
        <v>32.32951233728385</v>
      </c>
      <c r="AF30" s="107">
        <f>T30+AE30</f>
        <v>91.32951233728386</v>
      </c>
      <c r="AG30" s="107">
        <f>((AD30/'Assessed Value'!E23)*'Assessed Value'!G23)/12</f>
        <v>12.888072894527925</v>
      </c>
      <c r="AH30" s="157">
        <f>(AD30/'Assessed Value'!E23)*1000</f>
        <v>0.8965879741172293</v>
      </c>
      <c r="AI30" s="65"/>
      <c r="AJ30" s="58">
        <f>(((AD30+Y30)/'Assessed Value'!E23)*'Assessed Value'!G23)/12</f>
        <v>14.369349301426041</v>
      </c>
      <c r="AK30" s="58">
        <f>T30+Z30+AE30</f>
        <v>95.04526908878958</v>
      </c>
      <c r="AL30" s="58">
        <f>T30</f>
        <v>59</v>
      </c>
      <c r="AR30" s="368"/>
      <c r="AS30" s="369">
        <f>R30/((T30-(1-$AE$10)*$AS$4-$AE$10*$AT$4-$AU$4)*12)</f>
        <v>242.64727325168624</v>
      </c>
      <c r="AT30" s="367">
        <f>AS30/M30</f>
        <v>0.565721251023943</v>
      </c>
      <c r="AU30" s="65">
        <f>(M30/$M$62)*$AU$62</f>
        <v>15497.758136278055</v>
      </c>
    </row>
    <row r="31" spans="1:64" ht="13.5" customHeight="1">
      <c r="A31" s="9" t="s">
        <v>32</v>
      </c>
      <c r="B31" s="9" t="e">
        <f>VLOOKUP(C31,'Input Data'!$C$2:$D$28,2,FALSE)</f>
        <v>#N/A</v>
      </c>
      <c r="C31" s="9" t="s">
        <v>25</v>
      </c>
      <c r="D31" s="10">
        <v>2150000</v>
      </c>
      <c r="E31" s="10">
        <v>450000</v>
      </c>
      <c r="F31" s="10">
        <v>380000</v>
      </c>
      <c r="G31" s="10">
        <v>1320000</v>
      </c>
      <c r="H31" s="10">
        <f t="shared" si="2"/>
        <v>589500</v>
      </c>
      <c r="I31" s="11">
        <v>280652</v>
      </c>
      <c r="J31" s="11">
        <v>1310</v>
      </c>
      <c r="K31" s="12">
        <v>491</v>
      </c>
      <c r="L31" s="12">
        <v>104</v>
      </c>
      <c r="M31" s="12">
        <f t="shared" si="3"/>
        <v>447.6666666666667</v>
      </c>
      <c r="N31" s="23">
        <f t="shared" si="4"/>
        <v>23493.974242424243</v>
      </c>
      <c r="O31" s="23">
        <f t="shared" si="5"/>
        <v>22270</v>
      </c>
      <c r="P31" s="23">
        <f t="shared" si="6"/>
        <v>19149</v>
      </c>
      <c r="Q31" s="23">
        <v>28800</v>
      </c>
      <c r="R31" s="23">
        <f t="shared" si="7"/>
        <v>103084.27166666668</v>
      </c>
      <c r="S31" s="23">
        <f t="shared" si="8"/>
        <v>38.3783587738893</v>
      </c>
      <c r="T31" s="24">
        <f t="shared" si="0"/>
        <v>59</v>
      </c>
      <c r="U31" s="72">
        <f t="shared" si="9"/>
        <v>290.9026743048501</v>
      </c>
      <c r="V31" s="73">
        <f t="shared" si="10"/>
        <v>0.6498198234657858</v>
      </c>
      <c r="W31" s="69">
        <f t="shared" si="1"/>
        <v>13801.488187164843</v>
      </c>
      <c r="Y31" s="101">
        <f t="shared" si="19"/>
        <v>10624.5</v>
      </c>
      <c r="Z31" s="196">
        <f t="shared" si="11"/>
        <v>3.9555100521221145</v>
      </c>
      <c r="AA31" s="196">
        <f t="shared" si="12"/>
        <v>62.955510052122115</v>
      </c>
      <c r="AB31" s="197">
        <f>((Y31/'Assessed Value'!E16)*'Assessed Value'!G16)/12</f>
        <v>1.6658240410111353</v>
      </c>
      <c r="AC31" s="84"/>
      <c r="AD31" s="198">
        <f>'Debt Service'!K221</f>
        <v>93866.66666666667</v>
      </c>
      <c r="AE31" s="198">
        <f t="shared" si="13"/>
        <v>34.94663688260114</v>
      </c>
      <c r="AF31" s="198">
        <f t="shared" si="14"/>
        <v>93.94663688260114</v>
      </c>
      <c r="AG31" s="198">
        <f>((AD31/'Assessed Value'!E16)*'Assessed Value'!G16)/12</f>
        <v>14.717431406928506</v>
      </c>
      <c r="AH31" s="199">
        <f>(AD31/'Assessed Value'!E16)*1000</f>
        <v>0.8985604455389439</v>
      </c>
      <c r="AI31" s="24"/>
      <c r="AJ31" s="200">
        <f>(((AD31+Y31)/'Assessed Value'!E16)*'Assessed Value'!G16)/12</f>
        <v>16.38325544793964</v>
      </c>
      <c r="AK31" s="200">
        <f t="shared" si="15"/>
        <v>97.90214693472325</v>
      </c>
      <c r="AL31" s="200">
        <f t="shared" si="16"/>
        <v>59</v>
      </c>
      <c r="AP31"/>
      <c r="AQ31"/>
      <c r="AS31" s="78">
        <f t="shared" si="17"/>
        <v>274.45226748313814</v>
      </c>
      <c r="AT31" s="79">
        <f t="shared" si="18"/>
        <v>0.6130728238640465</v>
      </c>
      <c r="AU31" s="85">
        <f>(M31/$M$32)*$AU$32</f>
        <v>18555.708187164822</v>
      </c>
      <c r="AV31"/>
      <c r="AW31"/>
      <c r="AX31"/>
      <c r="AY31"/>
      <c r="AZ31"/>
      <c r="BA31"/>
      <c r="BB31"/>
      <c r="BC31"/>
      <c r="BD31"/>
      <c r="BE31"/>
      <c r="BF31"/>
      <c r="BG31"/>
      <c r="BI31"/>
      <c r="BJ31"/>
      <c r="BK31"/>
      <c r="BL31"/>
    </row>
    <row r="32" spans="1:47" s="359" customFormat="1" ht="15">
      <c r="A32" s="356"/>
      <c r="B32" s="356"/>
      <c r="C32" s="392" t="s">
        <v>185</v>
      </c>
      <c r="D32" s="329">
        <f aca="true" t="shared" si="21" ref="D32:L32">SUM(D16:D31)</f>
        <v>37730000</v>
      </c>
      <c r="E32" s="329">
        <f t="shared" si="21"/>
        <v>7750000</v>
      </c>
      <c r="F32" s="329">
        <f t="shared" si="21"/>
        <v>6170000</v>
      </c>
      <c r="G32" s="329">
        <f t="shared" si="21"/>
        <v>23810000</v>
      </c>
      <c r="H32" s="329">
        <f t="shared" si="21"/>
        <v>9852300</v>
      </c>
      <c r="I32" s="357">
        <f t="shared" si="21"/>
        <v>3994060</v>
      </c>
      <c r="J32" s="409">
        <f t="shared" si="21"/>
        <v>21894</v>
      </c>
      <c r="K32" s="409">
        <f t="shared" si="21"/>
        <v>9123</v>
      </c>
      <c r="L32" s="409">
        <f t="shared" si="21"/>
        <v>1843</v>
      </c>
      <c r="M32" s="410">
        <f t="shared" si="3"/>
        <v>8355.083333333334</v>
      </c>
      <c r="N32" s="411">
        <f>SUM(N16:N31)</f>
        <v>334351.23484848486</v>
      </c>
      <c r="O32" s="411">
        <f>SUM(O16:O31)</f>
        <v>372198</v>
      </c>
      <c r="P32" s="411">
        <f>SUM(P16:P31)</f>
        <v>355797</v>
      </c>
      <c r="Q32" s="411">
        <f>SUM(Q16:Q31)</f>
        <v>460800</v>
      </c>
      <c r="R32" s="411">
        <f>SUM(R16:R31)</f>
        <v>1675460.8583333334</v>
      </c>
      <c r="S32" s="381">
        <f>R33/12/($AB$10*M32)</f>
        <v>24.391694643646748</v>
      </c>
      <c r="T32" s="412">
        <f t="shared" si="0"/>
        <v>59</v>
      </c>
      <c r="U32" s="382">
        <f>R33/((T32-(1-$AE$10)*$V$4-$AE$10*$W$4)*12)</f>
        <v>3450.637341498288</v>
      </c>
      <c r="V32" s="413"/>
      <c r="W32" s="411">
        <f>SUM(W16:W31)</f>
        <v>257585.81666666683</v>
      </c>
      <c r="X32" s="311"/>
      <c r="Y32" s="381">
        <f>0.03*(D32-F32-H32)*0.3</f>
        <v>195369.3</v>
      </c>
      <c r="Z32" s="311">
        <f t="shared" si="11"/>
        <v>3.897214270753333</v>
      </c>
      <c r="AA32" s="311">
        <f t="shared" si="12"/>
        <v>62.89721427075333</v>
      </c>
      <c r="AB32" s="327">
        <f>((Y32/'Assessed Value'!E17)*'Assessed Value'!G17)/12</f>
        <v>1.6283420638612782</v>
      </c>
      <c r="AC32" s="327"/>
      <c r="AD32" s="311">
        <f>SUM(AD16:AD31)</f>
        <v>1693155.5555555557</v>
      </c>
      <c r="AE32" s="311">
        <f t="shared" si="13"/>
        <v>33.774958469505705</v>
      </c>
      <c r="AF32" s="311">
        <f t="shared" si="14"/>
        <v>92.7749584695057</v>
      </c>
      <c r="AG32" s="311">
        <f>((AD32/'Assessed Value'!E17)*'Assessed Value'!G17)/12</f>
        <v>14.1119224554294</v>
      </c>
      <c r="AH32" s="328">
        <f>(AD32/'Assessed Value'!E17)*1000</f>
        <v>0.7669166870376773</v>
      </c>
      <c r="AI32" s="311"/>
      <c r="AJ32" s="311">
        <f>(((AD32+Y32)/'Assessed Value'!E17)*'Assessed Value'!G17)/12</f>
        <v>15.740264519290681</v>
      </c>
      <c r="AK32" s="311">
        <f t="shared" si="15"/>
        <v>96.67217274025904</v>
      </c>
      <c r="AL32" s="311">
        <f t="shared" si="16"/>
        <v>59</v>
      </c>
      <c r="AS32" s="360">
        <f>R33/((T32-(1-$AE$10)*$AS$4-$AE$10*$AT$4-$AU$4)*12)</f>
        <v>3255.505453496628</v>
      </c>
      <c r="AT32" s="331">
        <f t="shared" si="18"/>
        <v>0.3896436844033027</v>
      </c>
      <c r="AU32" s="311">
        <f>IF(M32*$AB$10&lt;=$AR$4,M32*$AB$10*($AE$11*$AF$11+AE$12*$AF$12+$AE$10*$AF$10-(1-$AE$10)*$AS$4-$AE$10*$AT$4-$AU$4)*12-R33,IF(M32*$AB$10&lt;=$AR$5,M32*$AB$10*($AE$11*$AF$11+AE$12*$AF$12+$AE$10*$AF$10-(1-$AE$10)*$AS$5-$AE$10*$AT$5-$AU$5)*12-R33,IF(M32*$AB$10&lt;=$AR$6,M32*$AB$10*($AE$11*$AF$11+AE$12*$AF$12+$AE$10*$AF$10-(1-$AE$10)*$AS$6-$AE$10*$AT$6-$AU$6)*12-R33,IF(M32*$AB$10&lt;=$AR$7,M32*$AB$10*($AE$11*$AF$11+AE$12*$AF$12+$AE$10*$AF$10-(1-$AE$10)*$AS$7-$AE$10*$AT$7-$AU$7)*12-R33))))</f>
        <v>346316.8016666665</v>
      </c>
    </row>
    <row r="33" spans="1:47" s="359" customFormat="1" ht="15">
      <c r="A33" s="356"/>
      <c r="B33" s="356"/>
      <c r="C33" s="334" t="s">
        <v>177</v>
      </c>
      <c r="D33" s="329"/>
      <c r="E33" s="329"/>
      <c r="F33" s="329"/>
      <c r="G33" s="329"/>
      <c r="H33" s="329"/>
      <c r="I33" s="357"/>
      <c r="J33" s="357"/>
      <c r="K33" s="357"/>
      <c r="L33" s="357"/>
      <c r="M33" s="358"/>
      <c r="N33" s="329"/>
      <c r="O33" s="329"/>
      <c r="P33" s="329">
        <f>0.7*SUM(P16:P31)</f>
        <v>249057.9</v>
      </c>
      <c r="Q33" s="329">
        <v>156000</v>
      </c>
      <c r="R33" s="326">
        <f>(N32+O32+P33+Q33)*1.1</f>
        <v>1222767.8483333334</v>
      </c>
      <c r="S33" s="326"/>
      <c r="T33" s="311"/>
      <c r="U33" s="389"/>
      <c r="V33" s="390">
        <f>U32/M32</f>
        <v>0.4129985547518921</v>
      </c>
      <c r="W33" s="311">
        <f>IF(M32*$AB$10&lt;=$U$4,M32*$AB$10*($AE$11*$AF$11+AE$12*$AF$12+$AE$10*$AF$10-(1-$AE$10)*$V$4-$AE$10*$W$4)*12-R33,IF(M32*$AB$10&lt;=$U$5,M32*$AB$10*($AE$11*$AF$11+AE$12*$AF$12+$AE$10*$AF$10-(1-$AE$10)*$V$5-$AE$10*$W$5)*12-R33,IF(M32*$AB$10&lt;=$U$6,M32*$AB$10*($AE$11*$AF$11+AE$12*$AF$12+$AE$10*$AF$10-(1-$AE$10)*$V$6-$AE$10*$W$6)*12-R33,IF(M32*$AB$10&lt;=$U$7,M32*$AB$10*($AE$11*$AF$11+AE$12*$AF$12+$AE$10*$AF$10-(1-$AE$10)*$V$7-$AE$10*$W$7)*12-R33))))</f>
        <v>257585.81666666688</v>
      </c>
      <c r="X33" s="311"/>
      <c r="Y33" s="391"/>
      <c r="Z33" s="311"/>
      <c r="AA33" s="311"/>
      <c r="AB33" s="327"/>
      <c r="AC33" s="327"/>
      <c r="AD33" s="311"/>
      <c r="AE33" s="311"/>
      <c r="AF33" s="311"/>
      <c r="AG33" s="311"/>
      <c r="AH33" s="328"/>
      <c r="AI33" s="311"/>
      <c r="AJ33" s="311"/>
      <c r="AK33" s="311"/>
      <c r="AL33" s="311"/>
      <c r="AS33" s="360"/>
      <c r="AT33" s="331"/>
      <c r="AU33" s="311"/>
    </row>
    <row r="34" spans="1:47" s="359" customFormat="1" ht="21.75" customHeight="1">
      <c r="A34" s="356"/>
      <c r="B34" s="356"/>
      <c r="C34" s="334"/>
      <c r="D34" s="329"/>
      <c r="E34" s="329"/>
      <c r="F34" s="329"/>
      <c r="G34" s="329"/>
      <c r="H34" s="329"/>
      <c r="I34" s="357"/>
      <c r="J34" s="357"/>
      <c r="K34" s="357"/>
      <c r="L34" s="357"/>
      <c r="M34" s="358"/>
      <c r="N34" s="329"/>
      <c r="O34" s="329"/>
      <c r="P34" s="329"/>
      <c r="Q34" s="329"/>
      <c r="R34" s="326"/>
      <c r="S34" s="326"/>
      <c r="T34" s="311"/>
      <c r="U34" s="389"/>
      <c r="V34" s="390"/>
      <c r="W34" s="311"/>
      <c r="X34" s="311"/>
      <c r="Y34" s="391"/>
      <c r="Z34" s="311"/>
      <c r="AA34" s="311"/>
      <c r="AB34" s="327"/>
      <c r="AC34" s="327"/>
      <c r="AD34" s="311"/>
      <c r="AE34" s="311"/>
      <c r="AF34" s="311"/>
      <c r="AG34" s="311"/>
      <c r="AH34" s="328"/>
      <c r="AI34" s="311"/>
      <c r="AJ34" s="311"/>
      <c r="AK34" s="311"/>
      <c r="AL34" s="311"/>
      <c r="AS34" s="360"/>
      <c r="AT34" s="331"/>
      <c r="AU34" s="311"/>
    </row>
    <row r="35" spans="1:64" ht="13.5" customHeight="1">
      <c r="A35" s="9" t="s">
        <v>33</v>
      </c>
      <c r="B35" s="9">
        <f>VLOOKUP(C35,'Input Data'!$C$2:$D$28,2,FALSE)</f>
        <v>14</v>
      </c>
      <c r="C35" s="363" t="s">
        <v>11</v>
      </c>
      <c r="D35" s="364">
        <v>1750000</v>
      </c>
      <c r="E35" s="364">
        <v>370000</v>
      </c>
      <c r="F35" s="364">
        <v>310000</v>
      </c>
      <c r="G35" s="364">
        <v>1070000</v>
      </c>
      <c r="H35" s="364">
        <f>J35*450</f>
        <v>367650</v>
      </c>
      <c r="I35" s="365">
        <v>179481</v>
      </c>
      <c r="J35" s="365">
        <v>817</v>
      </c>
      <c r="K35" s="366">
        <v>325</v>
      </c>
      <c r="L35" s="366">
        <v>25</v>
      </c>
      <c r="M35" s="366">
        <f>(K35-L35)+(L35*7/12)</f>
        <v>314.5833333333333</v>
      </c>
      <c r="N35" s="348">
        <f>442*I35/5280</f>
        <v>15024.735227272728</v>
      </c>
      <c r="O35" s="348">
        <f>J35*17</f>
        <v>13889</v>
      </c>
      <c r="P35" s="348">
        <f>39*K35</f>
        <v>12675</v>
      </c>
      <c r="Q35" s="348">
        <v>28800</v>
      </c>
      <c r="R35" s="348">
        <f>(N35+O35+P35+Q35)*1.1</f>
        <v>77427.60875000001</v>
      </c>
      <c r="S35" s="348">
        <f t="shared" si="8"/>
        <v>41.021249668874184</v>
      </c>
      <c r="T35" s="65">
        <f t="shared" si="0"/>
        <v>59</v>
      </c>
      <c r="U35" s="72">
        <f t="shared" si="9"/>
        <v>218.49985537306696</v>
      </c>
      <c r="V35" s="73">
        <f>U35/M35</f>
        <v>0.694569076682597</v>
      </c>
      <c r="W35" s="69">
        <f>(M35/$M$37)*$W$38</f>
        <v>-7300.608981388424</v>
      </c>
      <c r="Y35" s="101">
        <f aca="true" t="shared" si="22" ref="Y35:Y63">0.03*(D35-F35-H35)*0.3</f>
        <v>9651.15</v>
      </c>
      <c r="Z35" s="55">
        <f t="shared" si="11"/>
        <v>5.113192052980133</v>
      </c>
      <c r="AA35" s="55">
        <f t="shared" si="12"/>
        <v>64.11319205298014</v>
      </c>
      <c r="AB35" s="102">
        <f>((Y35/'Assessed Value'!E20)*'Assessed Value'!G20)/12</f>
        <v>2.349566472576853</v>
      </c>
      <c r="AC35" s="67"/>
      <c r="AD35" s="107">
        <f>'Debt Service'!K93</f>
        <v>76088.88888888889</v>
      </c>
      <c r="AE35" s="107">
        <f t="shared" si="13"/>
        <v>40.31199411331862</v>
      </c>
      <c r="AF35" s="107">
        <f t="shared" si="14"/>
        <v>99.31199411331862</v>
      </c>
      <c r="AG35" s="107">
        <f>((AD35/'Assessed Value'!E20)*'Assessed Value'!G20)/12</f>
        <v>18.523792736508998</v>
      </c>
      <c r="AH35" s="157">
        <f>(AD35/'Assessed Value'!E20)*1000</f>
        <v>0.8821244985432025</v>
      </c>
      <c r="AI35" s="65"/>
      <c r="AJ35" s="58">
        <f>(((AD35+Y35)/'Assessed Value'!E20)*'Assessed Value'!G20)/12</f>
        <v>20.873359209085848</v>
      </c>
      <c r="AK35" s="58">
        <f t="shared" si="15"/>
        <v>104.42518616629876</v>
      </c>
      <c r="AL35" s="58">
        <f t="shared" si="16"/>
        <v>59</v>
      </c>
      <c r="AP35"/>
      <c r="AQ35"/>
      <c r="AS35" s="78">
        <f t="shared" si="17"/>
        <v>206.14379326411083</v>
      </c>
      <c r="AT35" s="79">
        <f t="shared" si="18"/>
        <v>0.6552915282567762</v>
      </c>
      <c r="AU35" s="85">
        <f>(M35/$M$62)*$AU$62</f>
        <v>11366.628514561815</v>
      </c>
      <c r="AV35"/>
      <c r="AW35"/>
      <c r="AX35"/>
      <c r="AY35"/>
      <c r="AZ35"/>
      <c r="BA35"/>
      <c r="BB35"/>
      <c r="BC35"/>
      <c r="BD35"/>
      <c r="BE35"/>
      <c r="BF35"/>
      <c r="BG35"/>
      <c r="BI35"/>
      <c r="BJ35"/>
      <c r="BK35"/>
      <c r="BL35"/>
    </row>
    <row r="36" spans="1:64" ht="13.5" customHeight="1">
      <c r="A36" s="9" t="s">
        <v>33</v>
      </c>
      <c r="B36" s="9" t="e">
        <f>VLOOKUP(C36,'Input Data'!$C$2:$D$28,2,FALSE)</f>
        <v>#N/A</v>
      </c>
      <c r="C36" s="9" t="s">
        <v>26</v>
      </c>
      <c r="D36" s="10">
        <v>2860000</v>
      </c>
      <c r="E36" s="10">
        <v>590000</v>
      </c>
      <c r="F36" s="10">
        <v>480000</v>
      </c>
      <c r="G36" s="10">
        <v>1790000</v>
      </c>
      <c r="H36" s="10">
        <f>J36*450</f>
        <v>730350</v>
      </c>
      <c r="I36" s="11">
        <v>310291</v>
      </c>
      <c r="J36" s="11">
        <v>1623</v>
      </c>
      <c r="K36" s="12">
        <v>629</v>
      </c>
      <c r="L36" s="12">
        <v>76</v>
      </c>
      <c r="M36" s="12">
        <f>(K36-L36)+(L36*7/12)</f>
        <v>597.3333333333334</v>
      </c>
      <c r="N36" s="23">
        <f>442*I36/5280</f>
        <v>25975.1178030303</v>
      </c>
      <c r="O36" s="23">
        <f>J36*17</f>
        <v>27591</v>
      </c>
      <c r="P36" s="23">
        <f>39*K36</f>
        <v>24531</v>
      </c>
      <c r="Q36" s="23">
        <v>28800</v>
      </c>
      <c r="R36" s="23">
        <f>(N36+O36+P36+Q36)*1.1</f>
        <v>117586.82958333334</v>
      </c>
      <c r="S36" s="23">
        <f t="shared" si="8"/>
        <v>32.80882521856399</v>
      </c>
      <c r="T36" s="24">
        <f t="shared" si="0"/>
        <v>59</v>
      </c>
      <c r="U36" s="72">
        <f t="shared" si="9"/>
        <v>331.828732315536</v>
      </c>
      <c r="V36" s="192">
        <f>U36/M36</f>
        <v>0.5555168509746696</v>
      </c>
      <c r="W36" s="69">
        <f>(M36/$M$37)*$W$38</f>
        <v>-13862.454351944962</v>
      </c>
      <c r="Y36" s="101">
        <f t="shared" si="22"/>
        <v>14846.849999999999</v>
      </c>
      <c r="Z36" s="196">
        <f t="shared" si="11"/>
        <v>4.142536272321428</v>
      </c>
      <c r="AA36" s="196">
        <f t="shared" si="12"/>
        <v>63.14253627232143</v>
      </c>
      <c r="AB36" s="197">
        <f>((Y36/'Assessed Value'!E24)*'Assessed Value'!G24)/12</f>
        <v>1.8400365094232003</v>
      </c>
      <c r="AC36" s="84"/>
      <c r="AD36" s="198">
        <f>'Debt Service'!K229</f>
        <v>127288.88888888888</v>
      </c>
      <c r="AE36" s="198">
        <f t="shared" si="13"/>
        <v>35.51587301587301</v>
      </c>
      <c r="AF36" s="198">
        <f t="shared" si="14"/>
        <v>94.51587301587301</v>
      </c>
      <c r="AG36" s="198">
        <f>((AD36/'Assessed Value'!E24)*'Assessed Value'!G24)/12</f>
        <v>15.775481182841391</v>
      </c>
      <c r="AH36" s="199">
        <f>(AD36/'Assessed Value'!E24)*1000</f>
        <v>0.7616541804147955</v>
      </c>
      <c r="AI36" s="24"/>
      <c r="AJ36" s="200">
        <f>(((AD36+Y36)/'Assessed Value'!E24)*'Assessed Value'!G24)/12</f>
        <v>17.615517692264593</v>
      </c>
      <c r="AK36" s="200">
        <f t="shared" si="15"/>
        <v>98.65840928819443</v>
      </c>
      <c r="AL36" s="200">
        <f t="shared" si="16"/>
        <v>59</v>
      </c>
      <c r="AP36"/>
      <c r="AQ36"/>
      <c r="AS36" s="78">
        <f t="shared" si="17"/>
        <v>313.0639765264466</v>
      </c>
      <c r="AT36" s="79">
        <f t="shared" si="18"/>
        <v>0.5241026392741851</v>
      </c>
      <c r="AU36" s="85">
        <f>(M36/$M$62)*$AU$62</f>
        <v>21583.04455427261</v>
      </c>
      <c r="AV36"/>
      <c r="AW36"/>
      <c r="AX36"/>
      <c r="AY36"/>
      <c r="AZ36"/>
      <c r="BA36"/>
      <c r="BB36"/>
      <c r="BC36"/>
      <c r="BD36"/>
      <c r="BE36"/>
      <c r="BF36"/>
      <c r="BG36"/>
      <c r="BI36"/>
      <c r="BJ36"/>
      <c r="BK36"/>
      <c r="BL36"/>
    </row>
    <row r="37" spans="1:47" s="359" customFormat="1" ht="15">
      <c r="A37" s="356"/>
      <c r="B37" s="356"/>
      <c r="C37" s="392" t="s">
        <v>185</v>
      </c>
      <c r="D37" s="357">
        <f aca="true" t="shared" si="23" ref="D37:L37">SUM(D35:D36)</f>
        <v>4610000</v>
      </c>
      <c r="E37" s="357">
        <f t="shared" si="23"/>
        <v>960000</v>
      </c>
      <c r="F37" s="357">
        <f t="shared" si="23"/>
        <v>790000</v>
      </c>
      <c r="G37" s="357">
        <f t="shared" si="23"/>
        <v>2860000</v>
      </c>
      <c r="H37" s="357">
        <f t="shared" si="23"/>
        <v>1098000</v>
      </c>
      <c r="I37" s="357">
        <f t="shared" si="23"/>
        <v>489772</v>
      </c>
      <c r="J37" s="409">
        <f t="shared" si="23"/>
        <v>2440</v>
      </c>
      <c r="K37" s="409">
        <f t="shared" si="23"/>
        <v>954</v>
      </c>
      <c r="L37" s="409">
        <f t="shared" si="23"/>
        <v>101</v>
      </c>
      <c r="M37" s="410">
        <f>(K37-L37)+(L37*7/12)</f>
        <v>911.9166666666666</v>
      </c>
      <c r="N37" s="409">
        <f>SUM(N35:N36)</f>
        <v>40999.85303030303</v>
      </c>
      <c r="O37" s="409">
        <f>SUM(O35:O36)</f>
        <v>41480</v>
      </c>
      <c r="P37" s="412">
        <f>SUM(P35:P36)</f>
        <v>37206</v>
      </c>
      <c r="Q37" s="412">
        <f>SUM(Q35:Q36)</f>
        <v>57600</v>
      </c>
      <c r="R37" s="311">
        <f>SUM(R35:R36)</f>
        <v>195014.43833333335</v>
      </c>
      <c r="S37" s="381">
        <f>R38/12/($AB$10*M37)</f>
        <v>33.397872308020354</v>
      </c>
      <c r="T37" s="412">
        <f t="shared" si="0"/>
        <v>59</v>
      </c>
      <c r="U37" s="382">
        <f>R38/((T37-(1-$AE$10)*$V$4-$AE$10*$W$4)*12)</f>
        <v>515.6802639500321</v>
      </c>
      <c r="V37" s="408"/>
      <c r="W37" s="412">
        <f>SUM(W35:W36)</f>
        <v>-21163.063333333386</v>
      </c>
      <c r="X37" s="311"/>
      <c r="Y37" s="381">
        <f t="shared" si="22"/>
        <v>24498</v>
      </c>
      <c r="Z37" s="311">
        <f t="shared" si="11"/>
        <v>4.4773828017911</v>
      </c>
      <c r="AA37" s="311">
        <f t="shared" si="12"/>
        <v>63.4773828017911</v>
      </c>
      <c r="AB37" s="327">
        <f>((Y37/'Assessed Value'!E25)*'Assessed Value'!G25)/12</f>
        <v>0.4319506634960843</v>
      </c>
      <c r="AC37" s="327"/>
      <c r="AD37" s="311">
        <f>SUM(AD35:AD36)</f>
        <v>203377.77777777775</v>
      </c>
      <c r="AE37" s="311">
        <f t="shared" si="13"/>
        <v>37.17038796998588</v>
      </c>
      <c r="AF37" s="311">
        <f t="shared" si="14"/>
        <v>96.17038796998588</v>
      </c>
      <c r="AG37" s="311">
        <f>((AD37/'Assessed Value'!E25)*'Assessed Value'!G25)/12</f>
        <v>3.585972979486909</v>
      </c>
      <c r="AH37" s="328">
        <f>(AD37/'Assessed Value'!E25)*1000</f>
        <v>0.1417933953658987</v>
      </c>
      <c r="AI37" s="311"/>
      <c r="AJ37" s="311">
        <f>(((AD37+Y37)/'Assessed Value'!E25)*'Assessed Value'!G25)/12</f>
        <v>4.017923642982993</v>
      </c>
      <c r="AK37" s="311">
        <f t="shared" si="15"/>
        <v>100.64777077177698</v>
      </c>
      <c r="AL37" s="311">
        <f t="shared" si="16"/>
        <v>59</v>
      </c>
      <c r="AS37" s="360">
        <f>R38/((T37-(1-$AE$10)*$AS$4-$AE$10*$AT$4-$AU$4)*12)</f>
        <v>486.51879215477476</v>
      </c>
      <c r="AT37" s="331">
        <f t="shared" si="18"/>
        <v>0.5335123371888236</v>
      </c>
      <c r="AU37" s="311">
        <f>IF(M37*$AB$10&lt;=$AR$4,M37*$AB$10*($AE$11*$AF$11+AE$12*$AF$12+$AE$10*$AF$10-(1-$AE$10)*$AS$4-$AE$10*$AT$4-$AU$4)*12-R38,IF(M37*$AB$10&lt;=$AR$5,M37*$AB$10*($AE$11*$AF$11+AE$12*$AF$12+$AE$10*$AF$10-(1-$AE$10)*$AS$5-$AE$10*$AT$5-$AU$5)*12-R38,IF(M37*$AB$10&lt;=$AR$6,M37*$AB$10*($AE$11*$AF$11+AE$12*$AF$12+$AE$10*$AF$10-(1-$AE$10)*$AS$6-$AE$10*$AT$6-$AU$6)*12-R38,IF(M37*$AB$10&lt;=$AR$7,M37*$AB$10*($AE$11*$AF$11+AE$12*$AF$12+$AE$10*$AF$10-(1-$AE$10)*$AS$7-$AE$10*$AT$7-$AU$7)*12-R38))))</f>
        <v>-11478.508333333419</v>
      </c>
    </row>
    <row r="38" spans="1:47" s="359" customFormat="1" ht="15">
      <c r="A38" s="356"/>
      <c r="B38" s="356"/>
      <c r="C38" s="334" t="s">
        <v>177</v>
      </c>
      <c r="D38" s="357"/>
      <c r="E38" s="357"/>
      <c r="F38" s="357"/>
      <c r="G38" s="357"/>
      <c r="H38" s="357"/>
      <c r="I38" s="357"/>
      <c r="J38" s="357"/>
      <c r="K38" s="357"/>
      <c r="L38" s="357"/>
      <c r="M38" s="358"/>
      <c r="N38" s="357"/>
      <c r="O38" s="357"/>
      <c r="P38" s="414">
        <f>0.7*SUM(P35:P36)</f>
        <v>26044.199999999997</v>
      </c>
      <c r="Q38" s="414">
        <f>SUM(Q35:Q36)</f>
        <v>57600</v>
      </c>
      <c r="R38" s="381">
        <f>(N37+O37+P38+Q38)*1.1</f>
        <v>182736.45833333337</v>
      </c>
      <c r="S38" s="326"/>
      <c r="T38" s="311"/>
      <c r="U38" s="389"/>
      <c r="V38" s="390">
        <f>U37/M37</f>
        <v>0.5654905571964165</v>
      </c>
      <c r="W38" s="325">
        <f>IF(M37*$AB$10&lt;=$U$4,M37*$AB$10*($AE$11*$AF$11+AE$12*$AF$12+$AE$10*$AF$10-(1-$AE$10)*$V$4-$AE$10*$W$4)*12-R38,IF(M37*$AB$10&lt;=$U$5,M37*$AB$10*($AE$11*$AF$11+AE$12*$AF$12+$AE$10*$AF$10-(1-$AE$10)*$V$5-$AE$10*$W$5)*12-R38,IF(M37*$AB$10&lt;=$U$6,M37*$AB$10*($AE$11*$AF$11+AE$12*$AF$12+$AE$10*$AF$10-(1-$AE$10)*$V$6-$AE$10*$W$6)*12-R38,IF(M37*$AB$10&lt;=$U$7,M37*$AB$10*($AE$11*$AF$11+AE$12*$AF$12+$AE$10*$AF$10-(1-$AE$10)*$V$7-$AE$10*$W$7)*12-R38))))</f>
        <v>-21163.063333333383</v>
      </c>
      <c r="X38" s="311"/>
      <c r="Y38" s="391"/>
      <c r="Z38" s="311"/>
      <c r="AA38" s="311"/>
      <c r="AB38" s="327"/>
      <c r="AC38" s="327"/>
      <c r="AD38" s="311"/>
      <c r="AE38" s="311"/>
      <c r="AF38" s="311"/>
      <c r="AG38" s="311"/>
      <c r="AH38" s="328"/>
      <c r="AI38" s="311"/>
      <c r="AJ38" s="311"/>
      <c r="AK38" s="311"/>
      <c r="AL38" s="311"/>
      <c r="AS38" s="360"/>
      <c r="AT38" s="331"/>
      <c r="AU38" s="311"/>
    </row>
    <row r="39" spans="1:47" s="359" customFormat="1" ht="22.5" customHeight="1">
      <c r="A39" s="356"/>
      <c r="B39" s="356"/>
      <c r="C39" s="334"/>
      <c r="D39" s="357"/>
      <c r="E39" s="357"/>
      <c r="F39" s="357"/>
      <c r="G39" s="357"/>
      <c r="H39" s="357"/>
      <c r="I39" s="357"/>
      <c r="J39" s="357"/>
      <c r="K39" s="357"/>
      <c r="L39" s="357"/>
      <c r="M39" s="358"/>
      <c r="N39" s="357"/>
      <c r="O39" s="357"/>
      <c r="P39" s="357"/>
      <c r="Q39" s="357"/>
      <c r="R39" s="326"/>
      <c r="S39" s="326"/>
      <c r="T39" s="311"/>
      <c r="U39" s="389"/>
      <c r="V39" s="390"/>
      <c r="W39" s="325"/>
      <c r="X39" s="311"/>
      <c r="Y39" s="391"/>
      <c r="Z39" s="311"/>
      <c r="AA39" s="311"/>
      <c r="AB39" s="327"/>
      <c r="AC39" s="327"/>
      <c r="AD39" s="311"/>
      <c r="AE39" s="311"/>
      <c r="AF39" s="311"/>
      <c r="AG39" s="311"/>
      <c r="AH39" s="328"/>
      <c r="AI39" s="311"/>
      <c r="AJ39" s="311"/>
      <c r="AK39" s="311"/>
      <c r="AL39" s="311"/>
      <c r="AS39" s="360"/>
      <c r="AT39" s="331"/>
      <c r="AU39" s="311"/>
    </row>
    <row r="40" spans="1:64" ht="13.5" customHeight="1">
      <c r="A40" s="9" t="s">
        <v>34</v>
      </c>
      <c r="B40" s="9">
        <f>VLOOKUP(C40,'Input Data'!$C$2:$D$28,2,FALSE)</f>
        <v>7</v>
      </c>
      <c r="C40" s="9" t="s">
        <v>6</v>
      </c>
      <c r="D40" s="10">
        <v>3550000</v>
      </c>
      <c r="E40" s="10">
        <v>690000</v>
      </c>
      <c r="F40" s="10">
        <v>610000</v>
      </c>
      <c r="G40" s="10">
        <v>2250000</v>
      </c>
      <c r="H40" s="10">
        <f aca="true" t="shared" si="24" ref="H40:H58">J40*450</f>
        <v>810900</v>
      </c>
      <c r="I40" s="11">
        <v>381843</v>
      </c>
      <c r="J40" s="11">
        <v>1802</v>
      </c>
      <c r="K40" s="12">
        <v>797</v>
      </c>
      <c r="L40" s="12">
        <v>66</v>
      </c>
      <c r="M40" s="12">
        <f aca="true" t="shared" si="25" ref="M40:M59">(K40-L40)+(L40*7/12)</f>
        <v>769.5</v>
      </c>
      <c r="N40" s="23">
        <f aca="true" t="shared" si="26" ref="N40:N58">442*I40/5280</f>
        <v>31964.8875</v>
      </c>
      <c r="O40" s="23">
        <f aca="true" t="shared" si="27" ref="O40:O58">J40*17</f>
        <v>30634</v>
      </c>
      <c r="P40" s="23">
        <f>39*K40</f>
        <v>31083</v>
      </c>
      <c r="Q40" s="23">
        <v>28800</v>
      </c>
      <c r="R40" s="23">
        <f aca="true" t="shared" si="28" ref="R40:R58">(N40+O40+P40+Q40)*1.1</f>
        <v>134730.07625</v>
      </c>
      <c r="S40" s="23">
        <f t="shared" si="8"/>
        <v>29.18130306476067</v>
      </c>
      <c r="T40" s="24">
        <f aca="true" t="shared" si="29" ref="T40:T59">$AE$10*$AF$10+$AE$11*$AF$11+$AE$12*$AF$12</f>
        <v>59</v>
      </c>
      <c r="U40" s="72">
        <f t="shared" si="9"/>
        <v>380.20678476690375</v>
      </c>
      <c r="V40" s="73">
        <f aca="true" t="shared" si="30" ref="V40:V58">U40/M40</f>
        <v>0.49409588663665205</v>
      </c>
      <c r="W40" s="69">
        <f>(M40/$M$59)*$W$60</f>
        <v>26395.2618733011</v>
      </c>
      <c r="Y40" s="101">
        <f t="shared" si="22"/>
        <v>19161.899999999998</v>
      </c>
      <c r="Z40" s="55">
        <f t="shared" si="11"/>
        <v>4.150292397660818</v>
      </c>
      <c r="AA40" s="55">
        <f t="shared" si="12"/>
        <v>63.15029239766082</v>
      </c>
      <c r="AB40" s="102">
        <f>((Y40/'Assessed Value'!E26)*'Assessed Value'!G26)/12</f>
        <v>1.6672396582697389</v>
      </c>
      <c r="AC40" s="84"/>
      <c r="AD40" s="107">
        <f>'Debt Service'!K53</f>
        <v>160000</v>
      </c>
      <c r="AE40" s="107">
        <f t="shared" si="13"/>
        <v>34.65453757851419</v>
      </c>
      <c r="AF40" s="107">
        <f t="shared" si="14"/>
        <v>93.65453757851418</v>
      </c>
      <c r="AG40" s="107">
        <f>((AD40/'Assessed Value'!E26)*'Assessed Value'!G26)/12</f>
        <v>13.921288876528854</v>
      </c>
      <c r="AH40" s="157">
        <f>(AD40/'Assessed Value'!E26)*1000</f>
        <v>0.9339269723392135</v>
      </c>
      <c r="AI40" s="24"/>
      <c r="AJ40" s="58">
        <f>(((AD40+Y40)/'Assessed Value'!E26)*'Assessed Value'!G26)/12</f>
        <v>15.588528534798591</v>
      </c>
      <c r="AK40" s="58">
        <f t="shared" si="15"/>
        <v>97.804829976175</v>
      </c>
      <c r="AL40" s="58">
        <f aca="true" t="shared" si="31" ref="AL40:AL58">T40</f>
        <v>59</v>
      </c>
      <c r="AP40"/>
      <c r="AQ40"/>
      <c r="AS40" s="78">
        <f t="shared" si="17"/>
        <v>358.7062732960597</v>
      </c>
      <c r="AT40" s="79">
        <f t="shared" si="18"/>
        <v>0.4661550010345155</v>
      </c>
      <c r="AU40" s="85">
        <f>(M40/$M$63)*$AU$63</f>
        <v>37074.14442070313</v>
      </c>
      <c r="AV40"/>
      <c r="AW40"/>
      <c r="AX40"/>
      <c r="AY40"/>
      <c r="AZ40"/>
      <c r="BA40"/>
      <c r="BB40"/>
      <c r="BC40"/>
      <c r="BD40"/>
      <c r="BE40"/>
      <c r="BF40"/>
      <c r="BG40"/>
      <c r="BI40"/>
      <c r="BJ40"/>
      <c r="BK40"/>
      <c r="BL40"/>
    </row>
    <row r="41" spans="1:64" ht="13.5" customHeight="1">
      <c r="A41" s="9" t="s">
        <v>34</v>
      </c>
      <c r="B41" s="9">
        <f>VLOOKUP(C41,'Input Data'!$C$2:$D$28,2,FALSE)</f>
        <v>9</v>
      </c>
      <c r="C41" s="9" t="s">
        <v>8</v>
      </c>
      <c r="D41" s="10">
        <v>2940000</v>
      </c>
      <c r="E41" s="10">
        <v>660000</v>
      </c>
      <c r="F41" s="10">
        <v>410000</v>
      </c>
      <c r="G41" s="10">
        <v>1870000</v>
      </c>
      <c r="H41" s="10">
        <f t="shared" si="24"/>
        <v>826650</v>
      </c>
      <c r="I41" s="11">
        <v>295465</v>
      </c>
      <c r="J41" s="11">
        <v>1837</v>
      </c>
      <c r="K41" s="12">
        <v>921</v>
      </c>
      <c r="L41" s="12">
        <v>325</v>
      </c>
      <c r="M41" s="12">
        <f t="shared" si="25"/>
        <v>785.5833333333334</v>
      </c>
      <c r="N41" s="23">
        <f t="shared" si="26"/>
        <v>24734.001893939392</v>
      </c>
      <c r="O41" s="23">
        <f t="shared" si="27"/>
        <v>31229</v>
      </c>
      <c r="P41" s="23">
        <f aca="true" t="shared" si="32" ref="P41:P58">39*K41</f>
        <v>35919</v>
      </c>
      <c r="Q41" s="23">
        <v>28800</v>
      </c>
      <c r="R41" s="23">
        <f t="shared" si="28"/>
        <v>132750.20208333334</v>
      </c>
      <c r="S41" s="23">
        <f t="shared" si="8"/>
        <v>28.163827746543614</v>
      </c>
      <c r="T41" s="24">
        <f t="shared" si="29"/>
        <v>59</v>
      </c>
      <c r="U41" s="72">
        <f t="shared" si="9"/>
        <v>374.61960177032773</v>
      </c>
      <c r="V41" s="73">
        <f t="shared" si="30"/>
        <v>0.47686806208167315</v>
      </c>
      <c r="W41" s="69">
        <f aca="true" t="shared" si="33" ref="W41:W58">(M41/$M$59)*$W$60</f>
        <v>26946.94971622368</v>
      </c>
      <c r="Y41" s="101">
        <f t="shared" si="22"/>
        <v>15330.15</v>
      </c>
      <c r="Z41" s="55">
        <f t="shared" si="11"/>
        <v>3.252392065344224</v>
      </c>
      <c r="AA41" s="55">
        <f t="shared" si="12"/>
        <v>62.252392065344225</v>
      </c>
      <c r="AB41" s="102">
        <f>((Y41/'Assessed Value'!E27)*'Assessed Value'!G27)/12</f>
        <v>1.310654493734612</v>
      </c>
      <c r="AC41" s="84"/>
      <c r="AD41" s="107">
        <f>'Debt Service'!K69</f>
        <v>132977.77777777778</v>
      </c>
      <c r="AE41" s="107">
        <f t="shared" si="13"/>
        <v>28.212109425645014</v>
      </c>
      <c r="AF41" s="107">
        <f t="shared" si="14"/>
        <v>87.21210942564501</v>
      </c>
      <c r="AG41" s="107">
        <f>((AD41/'Assessed Value'!E27)*'Assessed Value'!G27)/12</f>
        <v>11.36896390519904</v>
      </c>
      <c r="AH41" s="157">
        <f>(AD41/'Assessed Value'!E27)*1000</f>
        <v>0.34110072729871577</v>
      </c>
      <c r="AI41" s="24"/>
      <c r="AJ41" s="58">
        <f>(((AD41+Y41)/'Assessed Value'!E27)*'Assessed Value'!G27)/12</f>
        <v>12.679618398933655</v>
      </c>
      <c r="AK41" s="58">
        <f t="shared" si="15"/>
        <v>90.46450149098924</v>
      </c>
      <c r="AL41" s="58">
        <f t="shared" si="31"/>
        <v>59</v>
      </c>
      <c r="AP41"/>
      <c r="AQ41"/>
      <c r="AS41" s="78">
        <f t="shared" si="17"/>
        <v>353.43504282037634</v>
      </c>
      <c r="AT41" s="79">
        <f t="shared" si="18"/>
        <v>0.44990140170197473</v>
      </c>
      <c r="AU41" s="85">
        <f>(M41/$M$63)*$AU$63</f>
        <v>37849.03177972368</v>
      </c>
      <c r="AV41"/>
      <c r="AW41"/>
      <c r="AX41"/>
      <c r="AY41"/>
      <c r="AZ41"/>
      <c r="BA41"/>
      <c r="BB41"/>
      <c r="BC41"/>
      <c r="BD41"/>
      <c r="BE41"/>
      <c r="BF41"/>
      <c r="BG41"/>
      <c r="BI41"/>
      <c r="BJ41"/>
      <c r="BK41"/>
      <c r="BL41"/>
    </row>
    <row r="42" spans="1:64" ht="13.5" customHeight="1">
      <c r="A42" s="9" t="s">
        <v>34</v>
      </c>
      <c r="B42" s="9">
        <f>VLOOKUP(C42,'Input Data'!$C$2:$D$28,2,FALSE)</f>
        <v>17</v>
      </c>
      <c r="C42" s="9" t="s">
        <v>12</v>
      </c>
      <c r="D42" s="10">
        <v>3100000</v>
      </c>
      <c r="E42" s="10">
        <v>680000</v>
      </c>
      <c r="F42" s="10">
        <v>460000</v>
      </c>
      <c r="G42" s="10">
        <v>1960000</v>
      </c>
      <c r="H42" s="10">
        <f>J42*450</f>
        <v>903600</v>
      </c>
      <c r="I42" s="11">
        <v>330344</v>
      </c>
      <c r="J42" s="11">
        <v>2008</v>
      </c>
      <c r="K42" s="12">
        <v>928</v>
      </c>
      <c r="L42" s="12">
        <v>463</v>
      </c>
      <c r="M42" s="12">
        <f>(K42-L42)+(L42*7/12)</f>
        <v>735.0833333333333</v>
      </c>
      <c r="N42" s="23">
        <f>442*I42/5280</f>
        <v>27653.79696969697</v>
      </c>
      <c r="O42" s="23">
        <f>J42*17</f>
        <v>34136</v>
      </c>
      <c r="P42" s="23">
        <f>39*K42</f>
        <v>36192</v>
      </c>
      <c r="Q42" s="23">
        <v>28800</v>
      </c>
      <c r="R42" s="23">
        <f>(N42+O42+P42+Q42)*1.1</f>
        <v>139459.97666666668</v>
      </c>
      <c r="S42" s="23">
        <f>R42/12/($AB$10*M42)</f>
        <v>31.619992442277905</v>
      </c>
      <c r="T42" s="24">
        <f>$AE$10*$AF$10+$AE$11*$AF$11+$AE$12*$AF$12</f>
        <v>59</v>
      </c>
      <c r="U42" s="72">
        <f>R42/((T42-(1-$AE$10)*$V$4-$AE$10*$W$4)*12)</f>
        <v>393.5545114196486</v>
      </c>
      <c r="V42" s="73">
        <f>U42/M42</f>
        <v>0.5353876133132053</v>
      </c>
      <c r="W42" s="69">
        <f t="shared" si="33"/>
        <v>25214.70705917143</v>
      </c>
      <c r="Y42" s="101">
        <f>0.03*(D42-F42-H42)*0.3</f>
        <v>15627.599999999999</v>
      </c>
      <c r="Z42" s="55">
        <f>(Y42/(M42*$AB$10))/12</f>
        <v>3.543271737898198</v>
      </c>
      <c r="AA42" s="55">
        <f>T42+Z42</f>
        <v>62.543271737898195</v>
      </c>
      <c r="AB42" s="102">
        <f>((Y42/'Assessed Value'!E21)*'Assessed Value'!G21)/12</f>
        <v>1.350115862022175</v>
      </c>
      <c r="AC42" s="84"/>
      <c r="AD42" s="107">
        <f>'Debt Service'!K101</f>
        <v>139377.77777777778</v>
      </c>
      <c r="AE42" s="107">
        <f>AD42/(12*$AB$10*M42)</f>
        <v>31.60135535149706</v>
      </c>
      <c r="AF42" s="107">
        <f>T42+AE42</f>
        <v>90.60135535149706</v>
      </c>
      <c r="AG42" s="107">
        <f>((AD42/'Assessed Value'!E21)*'Assessed Value'!G21)/12</f>
        <v>12.041269842533696</v>
      </c>
      <c r="AH42" s="157">
        <f>(AD42/'Assessed Value'!E21)*1000</f>
        <v>0.2764086334231453</v>
      </c>
      <c r="AI42" s="24"/>
      <c r="AJ42" s="58">
        <f>(((AD42+Y42)/'Assessed Value'!E21)*'Assessed Value'!G21)/12</f>
        <v>13.391385704555871</v>
      </c>
      <c r="AK42" s="58">
        <f>T42+Z42+AE42</f>
        <v>94.14462708939526</v>
      </c>
      <c r="AL42" s="58">
        <f>T42</f>
        <v>59</v>
      </c>
      <c r="AP42"/>
      <c r="AQ42"/>
      <c r="AS42" s="78">
        <f>R42/((T42-(1-$AE$10)*$AS$4-$AE$10*$AT$4-$AU$4)*12)</f>
        <v>371.299192403266</v>
      </c>
      <c r="AT42" s="79">
        <f>AS42/M42</f>
        <v>0.5051117003558772</v>
      </c>
      <c r="AU42" s="85">
        <f>(M42/$M$62)*$AU$62</f>
        <v>26560.27288131119</v>
      </c>
      <c r="AV42"/>
      <c r="AW42"/>
      <c r="AX42"/>
      <c r="AY42"/>
      <c r="AZ42"/>
      <c r="BA42"/>
      <c r="BB42"/>
      <c r="BC42"/>
      <c r="BD42"/>
      <c r="BE42"/>
      <c r="BF42"/>
      <c r="BG42"/>
      <c r="BI42"/>
      <c r="BJ42"/>
      <c r="BK42"/>
      <c r="BL42"/>
    </row>
    <row r="43" spans="1:64" ht="13.5" customHeight="1">
      <c r="A43" s="9" t="s">
        <v>34</v>
      </c>
      <c r="B43" s="9" t="e">
        <f>VLOOKUP(C43,'Input Data'!$C$2:$D$28,2,FALSE)</f>
        <v>#N/A</v>
      </c>
      <c r="C43" s="9" t="s">
        <v>19</v>
      </c>
      <c r="D43" s="10">
        <v>3610000</v>
      </c>
      <c r="E43" s="10">
        <v>620000</v>
      </c>
      <c r="F43" s="10">
        <v>610000</v>
      </c>
      <c r="G43" s="10">
        <v>2380000</v>
      </c>
      <c r="H43" s="10">
        <f>J43*450</f>
        <v>792900</v>
      </c>
      <c r="I43" s="11">
        <v>376125</v>
      </c>
      <c r="J43" s="11">
        <v>1762</v>
      </c>
      <c r="K43" s="12">
        <v>671</v>
      </c>
      <c r="L43" s="12">
        <v>270</v>
      </c>
      <c r="M43" s="12">
        <f>(K43-L43)+(L43*7/12)</f>
        <v>558.5</v>
      </c>
      <c r="N43" s="23">
        <f>442*I43/5280</f>
        <v>31486.221590909092</v>
      </c>
      <c r="O43" s="23">
        <f>J43*17</f>
        <v>29954</v>
      </c>
      <c r="P43" s="23">
        <f>39*K43</f>
        <v>26169</v>
      </c>
      <c r="Q43" s="23">
        <v>28800</v>
      </c>
      <c r="R43" s="23">
        <f>(N43+O43+P43+Q43)*1.1</f>
        <v>128050.14375</v>
      </c>
      <c r="S43" s="23">
        <f>R43/12/($AB$10*M43)</f>
        <v>38.212516786034016</v>
      </c>
      <c r="T43" s="24">
        <f>$AE$10*$AF$10+$AE$11*$AF$11+$AE$12*$AF$12</f>
        <v>59</v>
      </c>
      <c r="U43" s="72">
        <f>R43/((T43-(1-$AE$10)*$V$4-$AE$10*$W$4)*12)</f>
        <v>361.35608914663055</v>
      </c>
      <c r="V43" s="73">
        <f>U43/M43</f>
        <v>0.6470117979348802</v>
      </c>
      <c r="W43" s="69">
        <f t="shared" si="33"/>
        <v>19157.57473195408</v>
      </c>
      <c r="Y43" s="101">
        <f>0.03*(D43-F43-H43)*0.3</f>
        <v>19863.899999999998</v>
      </c>
      <c r="Z43" s="55">
        <f>(Y43/(M43*$AB$10))/12</f>
        <v>5.92775290957923</v>
      </c>
      <c r="AA43" s="55">
        <f>T43+Z43</f>
        <v>64.92775290957923</v>
      </c>
      <c r="AB43" s="102">
        <f>((Y43/'Assessed Value'!E22)*'Assessed Value'!G22)/12</f>
        <v>2.218439964542465</v>
      </c>
      <c r="AC43" s="84"/>
      <c r="AD43" s="107">
        <f>'Debt Service'!K165</f>
        <v>169244.44444444444</v>
      </c>
      <c r="AE43" s="107">
        <f>AD43/(12*$AB$10*M43)</f>
        <v>50.505653370469844</v>
      </c>
      <c r="AF43" s="107">
        <f>T43+AE43</f>
        <v>109.50565337046984</v>
      </c>
      <c r="AG43" s="107">
        <f>((AD43/'Assessed Value'!E22)*'Assessed Value'!G22)/12</f>
        <v>18.901557062426942</v>
      </c>
      <c r="AH43" s="157">
        <f>(AD43/'Assessed Value'!E22)*1000</f>
        <v>0.783158436141439</v>
      </c>
      <c r="AI43" s="24"/>
      <c r="AJ43" s="58">
        <f>(((AD43+Y43)/'Assessed Value'!E22)*'Assessed Value'!G22)/12</f>
        <v>21.119997026969408</v>
      </c>
      <c r="AK43" s="58">
        <f>T43+Z43+AE43</f>
        <v>115.43340628004907</v>
      </c>
      <c r="AL43" s="58">
        <f>T43</f>
        <v>59</v>
      </c>
      <c r="AP43"/>
      <c r="AQ43"/>
      <c r="AS43" s="78">
        <f>R43/((T43-(1-$AE$10)*$AS$4-$AE$10*$AT$4-$AU$4)*12)</f>
        <v>340.92157547923324</v>
      </c>
      <c r="AT43" s="79">
        <f>AS43/M43</f>
        <v>0.6104235908312144</v>
      </c>
      <c r="AU43" s="85">
        <f>(M43/$M$62)*$AU$62</f>
        <v>20179.9057760512</v>
      </c>
      <c r="AV43"/>
      <c r="AW43"/>
      <c r="AX43"/>
      <c r="AY43"/>
      <c r="AZ43"/>
      <c r="BA43"/>
      <c r="BB43"/>
      <c r="BC43"/>
      <c r="BD43"/>
      <c r="BE43"/>
      <c r="BF43"/>
      <c r="BG43"/>
      <c r="BI43"/>
      <c r="BJ43"/>
      <c r="BK43"/>
      <c r="BL43"/>
    </row>
    <row r="44" spans="1:64" ht="13.5" customHeight="1">
      <c r="A44" s="9" t="s">
        <v>34</v>
      </c>
      <c r="B44" s="9">
        <f>VLOOKUP(C44,'Input Data'!$C$2:$D$28,2,FALSE)</f>
        <v>20</v>
      </c>
      <c r="C44" s="363" t="s">
        <v>14</v>
      </c>
      <c r="D44" s="364">
        <v>4730000</v>
      </c>
      <c r="E44" s="364">
        <v>920000</v>
      </c>
      <c r="F44" s="364">
        <v>790000</v>
      </c>
      <c r="G44" s="364">
        <v>3020000</v>
      </c>
      <c r="H44" s="364">
        <f t="shared" si="24"/>
        <v>1268100</v>
      </c>
      <c r="I44" s="365">
        <v>510203</v>
      </c>
      <c r="J44" s="365">
        <v>2818</v>
      </c>
      <c r="K44" s="366">
        <v>1039</v>
      </c>
      <c r="L44" s="366">
        <v>347</v>
      </c>
      <c r="M44" s="366">
        <f t="shared" si="25"/>
        <v>894.4166666666666</v>
      </c>
      <c r="N44" s="348">
        <f t="shared" si="26"/>
        <v>42710.17537878788</v>
      </c>
      <c r="O44" s="348">
        <f t="shared" si="27"/>
        <v>47906</v>
      </c>
      <c r="P44" s="348">
        <f t="shared" si="32"/>
        <v>40521</v>
      </c>
      <c r="Q44" s="348">
        <v>28800</v>
      </c>
      <c r="R44" s="348">
        <f t="shared" si="28"/>
        <v>175930.8929166667</v>
      </c>
      <c r="S44" s="348">
        <f t="shared" si="8"/>
        <v>32.7831720705612</v>
      </c>
      <c r="T44" s="65">
        <f t="shared" si="29"/>
        <v>59</v>
      </c>
      <c r="U44" s="72">
        <f t="shared" si="9"/>
        <v>496.47503362870157</v>
      </c>
      <c r="V44" s="73">
        <f t="shared" si="30"/>
        <v>0.5550824935753674</v>
      </c>
      <c r="W44" s="69">
        <f t="shared" si="33"/>
        <v>30680.132736207568</v>
      </c>
      <c r="Y44" s="101">
        <f>0.03*(D44-F44-H44)*0.3</f>
        <v>24047.1</v>
      </c>
      <c r="Z44" s="55">
        <f t="shared" si="11"/>
        <v>4.480965247367931</v>
      </c>
      <c r="AA44" s="55">
        <f t="shared" si="12"/>
        <v>63.480965247367934</v>
      </c>
      <c r="AB44" s="102">
        <f>((Y44/'Assessed Value'!E28)*'Assessed Value'!G28)/12</f>
        <v>1.8234662157861328</v>
      </c>
      <c r="AC44" s="67"/>
      <c r="AD44" s="107">
        <f>'Debt Service'!K117</f>
        <v>214755.55555555556</v>
      </c>
      <c r="AE44" s="107">
        <f t="shared" si="13"/>
        <v>40.017805936002155</v>
      </c>
      <c r="AF44" s="107">
        <f t="shared" si="14"/>
        <v>99.01780593600216</v>
      </c>
      <c r="AG44" s="107">
        <f>((AD44/'Assessed Value'!E28)*'Assessed Value'!G28)/12</f>
        <v>16.28468714347832</v>
      </c>
      <c r="AH44" s="157">
        <f>(AD44/'Assessed Value'!E28)*1000</f>
        <v>0.43500486586297044</v>
      </c>
      <c r="AI44" s="65"/>
      <c r="AJ44" s="58">
        <f>(((AD44+Y44)/'Assessed Value'!E28)*'Assessed Value'!G28)/12</f>
        <v>18.108153359264453</v>
      </c>
      <c r="AK44" s="58">
        <f t="shared" si="15"/>
        <v>103.49877118337008</v>
      </c>
      <c r="AL44" s="58">
        <f t="shared" si="31"/>
        <v>59</v>
      </c>
      <c r="AP44"/>
      <c r="AQ44"/>
      <c r="AS44" s="78">
        <f t="shared" si="17"/>
        <v>468.39960840433093</v>
      </c>
      <c r="AT44" s="79">
        <f t="shared" si="18"/>
        <v>0.5236928445776551</v>
      </c>
      <c r="AU44" s="85">
        <f aca="true" t="shared" si="34" ref="AU44:AU54">(M44/$M$63)*$AU$63</f>
        <v>43092.570074443</v>
      </c>
      <c r="AV44"/>
      <c r="AW44"/>
      <c r="AX44"/>
      <c r="AY44"/>
      <c r="AZ44"/>
      <c r="BA44"/>
      <c r="BB44"/>
      <c r="BC44"/>
      <c r="BD44"/>
      <c r="BE44"/>
      <c r="BF44"/>
      <c r="BG44"/>
      <c r="BI44"/>
      <c r="BJ44"/>
      <c r="BK44"/>
      <c r="BL44"/>
    </row>
    <row r="45" spans="1:64" ht="13.5" customHeight="1">
      <c r="A45" s="9" t="s">
        <v>34</v>
      </c>
      <c r="B45" s="9" t="e">
        <f>VLOOKUP(C45,'Input Data'!$C$2:$D$28,2,FALSE)</f>
        <v>#N/A</v>
      </c>
      <c r="C45" s="9" t="s">
        <v>21</v>
      </c>
      <c r="D45" s="10">
        <v>2650000</v>
      </c>
      <c r="E45" s="10">
        <v>430000</v>
      </c>
      <c r="F45" s="10">
        <v>400000</v>
      </c>
      <c r="G45" s="10">
        <v>1820000</v>
      </c>
      <c r="H45" s="10">
        <f t="shared" si="24"/>
        <v>275850</v>
      </c>
      <c r="I45" s="11">
        <v>137234</v>
      </c>
      <c r="J45" s="11">
        <v>613</v>
      </c>
      <c r="K45" s="11">
        <v>510</v>
      </c>
      <c r="L45" s="11">
        <v>288</v>
      </c>
      <c r="M45" s="12">
        <f t="shared" si="25"/>
        <v>390</v>
      </c>
      <c r="N45" s="23">
        <f t="shared" si="26"/>
        <v>11488.149242424242</v>
      </c>
      <c r="O45" s="23">
        <f t="shared" si="27"/>
        <v>10421</v>
      </c>
      <c r="P45" s="23">
        <f t="shared" si="32"/>
        <v>19890</v>
      </c>
      <c r="Q45" s="23">
        <v>28800</v>
      </c>
      <c r="R45" s="23">
        <f t="shared" si="28"/>
        <v>77659.06416666668</v>
      </c>
      <c r="S45" s="23">
        <f t="shared" si="8"/>
        <v>33.18763425925926</v>
      </c>
      <c r="T45" s="24">
        <f t="shared" si="29"/>
        <v>59</v>
      </c>
      <c r="U45" s="72">
        <f t="shared" si="9"/>
        <v>219.15301999849495</v>
      </c>
      <c r="V45" s="73">
        <f t="shared" si="30"/>
        <v>0.5619308205089614</v>
      </c>
      <c r="W45" s="69">
        <f t="shared" si="33"/>
        <v>13377.715569314398</v>
      </c>
      <c r="Y45" s="101">
        <f t="shared" si="22"/>
        <v>17767.35</v>
      </c>
      <c r="Z45" s="55">
        <f t="shared" si="11"/>
        <v>7.592884615384615</v>
      </c>
      <c r="AA45" s="55">
        <f t="shared" si="12"/>
        <v>66.59288461538462</v>
      </c>
      <c r="AB45" s="102">
        <f>((Y45/'Assessed Value'!E29)*'Assessed Value'!G29)/12</f>
        <v>2.6058750006594673</v>
      </c>
      <c r="AC45" s="84"/>
      <c r="AD45" s="107">
        <f>'Debt Service'!K181</f>
        <v>129422.22222222222</v>
      </c>
      <c r="AE45" s="107">
        <f t="shared" si="13"/>
        <v>55.30864197530864</v>
      </c>
      <c r="AF45" s="107">
        <f t="shared" si="14"/>
        <v>114.30864197530863</v>
      </c>
      <c r="AG45" s="107">
        <f>((AD45/'Assessed Value'!E29)*'Assessed Value'!G29)/12</f>
        <v>18.981904077911622</v>
      </c>
      <c r="AH45" s="157">
        <f>(AD45/'Assessed Value'!E29)*1000</f>
        <v>0.6947727399232598</v>
      </c>
      <c r="AI45" s="24"/>
      <c r="AJ45" s="58">
        <f>(((AD45+Y45)/'Assessed Value'!E29)*'Assessed Value'!G29)/12</f>
        <v>21.58777907857109</v>
      </c>
      <c r="AK45" s="58">
        <f t="shared" si="15"/>
        <v>121.90152659069327</v>
      </c>
      <c r="AL45" s="58">
        <f t="shared" si="31"/>
        <v>59</v>
      </c>
      <c r="AP45"/>
      <c r="AQ45"/>
      <c r="AS45" s="78">
        <f t="shared" si="17"/>
        <v>206.76002174298904</v>
      </c>
      <c r="AT45" s="79">
        <f t="shared" si="18"/>
        <v>0.5301539019051001</v>
      </c>
      <c r="AU45" s="85">
        <f t="shared" si="34"/>
        <v>18790.014716145837</v>
      </c>
      <c r="AV45"/>
      <c r="AW45"/>
      <c r="AX45"/>
      <c r="AY45"/>
      <c r="AZ45"/>
      <c r="BA45"/>
      <c r="BB45"/>
      <c r="BC45"/>
      <c r="BD45"/>
      <c r="BE45"/>
      <c r="BF45"/>
      <c r="BG45"/>
      <c r="BI45"/>
      <c r="BJ45"/>
      <c r="BK45"/>
      <c r="BL45"/>
    </row>
    <row r="46" spans="1:64" ht="13.5" customHeight="1">
      <c r="A46" s="9" t="s">
        <v>34</v>
      </c>
      <c r="B46" s="9" t="e">
        <f>VLOOKUP(C46,'Input Data'!$C$2:$D$28,2,FALSE)</f>
        <v>#N/A</v>
      </c>
      <c r="C46" s="9" t="s">
        <v>90</v>
      </c>
      <c r="D46" s="120">
        <v>1380000</v>
      </c>
      <c r="E46" s="120">
        <v>220000</v>
      </c>
      <c r="F46" s="120">
        <v>260000</v>
      </c>
      <c r="G46" s="121">
        <f>+F46+E46+D46</f>
        <v>1860000</v>
      </c>
      <c r="H46" s="10">
        <f t="shared" si="24"/>
        <v>337500</v>
      </c>
      <c r="I46" s="5">
        <v>125488</v>
      </c>
      <c r="J46" s="5">
        <v>750</v>
      </c>
      <c r="K46" s="5">
        <v>280</v>
      </c>
      <c r="L46" s="5">
        <v>131</v>
      </c>
      <c r="M46" s="12">
        <f t="shared" si="25"/>
        <v>225.41666666666669</v>
      </c>
      <c r="N46" s="23">
        <f t="shared" si="26"/>
        <v>10504.866666666667</v>
      </c>
      <c r="O46" s="23">
        <f t="shared" si="27"/>
        <v>12750</v>
      </c>
      <c r="P46" s="23">
        <f t="shared" si="32"/>
        <v>10920</v>
      </c>
      <c r="Q46" s="23">
        <v>28800</v>
      </c>
      <c r="R46" s="23">
        <f t="shared" si="28"/>
        <v>69272.35333333335</v>
      </c>
      <c r="S46" s="23">
        <f t="shared" si="8"/>
        <v>51.21800616142946</v>
      </c>
      <c r="T46" s="24">
        <f t="shared" si="29"/>
        <v>59</v>
      </c>
      <c r="U46" s="72">
        <f t="shared" si="9"/>
        <v>195.48581480227267</v>
      </c>
      <c r="V46" s="73">
        <f t="shared" si="30"/>
        <v>0.8672198808233907</v>
      </c>
      <c r="W46" s="69">
        <f t="shared" si="33"/>
        <v>7732.205259614411</v>
      </c>
      <c r="Y46" s="101">
        <f t="shared" si="22"/>
        <v>7042.5</v>
      </c>
      <c r="Z46" s="55">
        <f t="shared" si="11"/>
        <v>5.207024029574861</v>
      </c>
      <c r="AA46" s="55">
        <f t="shared" si="12"/>
        <v>64.20702402957487</v>
      </c>
      <c r="AB46" s="102">
        <f>((Y46/'Assessed Value'!E30)*'Assessed Value'!G30)/12</f>
        <v>1.7444235485651218</v>
      </c>
      <c r="AC46" s="84"/>
      <c r="AD46" s="107">
        <f>'Debt Service'!K182</f>
        <v>43875</v>
      </c>
      <c r="AE46" s="107">
        <f t="shared" si="13"/>
        <v>32.43992606284658</v>
      </c>
      <c r="AF46" s="107">
        <f t="shared" si="14"/>
        <v>91.43992606284658</v>
      </c>
      <c r="AG46" s="107">
        <f>((AD46/'Assessed Value'!E30)*'Assessed Value'!G30)/12</f>
        <v>10.867814439942455</v>
      </c>
      <c r="AH46" s="157">
        <f>(AD46/'Assessed Value'!E30)*1000</f>
        <v>0.2278242259376596</v>
      </c>
      <c r="AI46" s="24"/>
      <c r="AJ46" s="58">
        <f>(((AD46+Y46)/'Assessed Value'!E30)*'Assessed Value'!G30)/12</f>
        <v>12.612237988507575</v>
      </c>
      <c r="AK46" s="58">
        <f t="shared" si="15"/>
        <v>96.64695009242145</v>
      </c>
      <c r="AL46" s="58">
        <f t="shared" si="31"/>
        <v>59</v>
      </c>
      <c r="AP46"/>
      <c r="AQ46"/>
      <c r="AS46" s="78">
        <f t="shared" si="17"/>
        <v>184.43118565850202</v>
      </c>
      <c r="AT46" s="79">
        <f t="shared" si="18"/>
        <v>0.8181790121634099</v>
      </c>
      <c r="AU46" s="85">
        <f t="shared" si="34"/>
        <v>10860.467907515917</v>
      </c>
      <c r="AV46"/>
      <c r="AW46"/>
      <c r="AX46"/>
      <c r="AY46"/>
      <c r="AZ46"/>
      <c r="BA46"/>
      <c r="BB46"/>
      <c r="BC46"/>
      <c r="BD46"/>
      <c r="BE46"/>
      <c r="BF46"/>
      <c r="BG46"/>
      <c r="BI46"/>
      <c r="BJ46"/>
      <c r="BK46"/>
      <c r="BL46"/>
    </row>
    <row r="47" spans="1:64" ht="13.5" customHeight="1">
      <c r="A47" s="9" t="s">
        <v>34</v>
      </c>
      <c r="B47" s="9" t="e">
        <f>VLOOKUP(C47,'Input Data'!$C$2:$D$28,2,FALSE)</f>
        <v>#N/A</v>
      </c>
      <c r="C47" s="9" t="s">
        <v>22</v>
      </c>
      <c r="D47" s="10">
        <v>2480000</v>
      </c>
      <c r="E47" s="10">
        <v>450000</v>
      </c>
      <c r="F47" s="10">
        <v>420000</v>
      </c>
      <c r="G47" s="10">
        <v>1610000</v>
      </c>
      <c r="H47" s="10">
        <f t="shared" si="24"/>
        <v>706500</v>
      </c>
      <c r="I47" s="11">
        <v>258480</v>
      </c>
      <c r="J47" s="11">
        <v>1570</v>
      </c>
      <c r="K47" s="12">
        <v>426</v>
      </c>
      <c r="L47" s="12">
        <v>63</v>
      </c>
      <c r="M47" s="12">
        <f t="shared" si="25"/>
        <v>399.75</v>
      </c>
      <c r="N47" s="23">
        <f t="shared" si="26"/>
        <v>21637.909090909092</v>
      </c>
      <c r="O47" s="23">
        <f t="shared" si="27"/>
        <v>26690</v>
      </c>
      <c r="P47" s="23">
        <f t="shared" si="32"/>
        <v>16614</v>
      </c>
      <c r="Q47" s="23">
        <v>28800</v>
      </c>
      <c r="R47" s="23">
        <f t="shared" si="28"/>
        <v>103116.1</v>
      </c>
      <c r="S47" s="23">
        <f t="shared" si="8"/>
        <v>42.99191161142381</v>
      </c>
      <c r="T47" s="24">
        <f t="shared" si="29"/>
        <v>59</v>
      </c>
      <c r="U47" s="72">
        <f t="shared" si="9"/>
        <v>290.99249350942546</v>
      </c>
      <c r="V47" s="73">
        <f t="shared" si="30"/>
        <v>0.7279361938947478</v>
      </c>
      <c r="W47" s="69">
        <f t="shared" si="33"/>
        <v>13712.158458547256</v>
      </c>
      <c r="Y47" s="101">
        <f t="shared" si="22"/>
        <v>12181.5</v>
      </c>
      <c r="Z47" s="55">
        <f t="shared" si="11"/>
        <v>5.078799249530957</v>
      </c>
      <c r="AA47" s="55">
        <f t="shared" si="12"/>
        <v>64.07879924953096</v>
      </c>
      <c r="AB47" s="102">
        <f>((Y47/'Assessed Value'!E31)*'Assessed Value'!G31)/12</f>
        <v>2.2311462311550563</v>
      </c>
      <c r="AC47" s="84"/>
      <c r="AD47" s="107">
        <f>'Debt Service'!K197</f>
        <v>114488.88888888888</v>
      </c>
      <c r="AE47" s="107">
        <f t="shared" si="13"/>
        <v>47.73353716443147</v>
      </c>
      <c r="AF47" s="107">
        <f t="shared" si="14"/>
        <v>106.73353716443147</v>
      </c>
      <c r="AG47" s="107">
        <f>((AD47/'Assessed Value'!E31)*'Assessed Value'!G31)/12</f>
        <v>20.9696222102019</v>
      </c>
      <c r="AH47" s="157">
        <f>(AD47/'Assessed Value'!E31)*1000</f>
        <v>1.5295952483741146</v>
      </c>
      <c r="AI47" s="24"/>
      <c r="AJ47" s="58">
        <f>(((AD47+Y47)/'Assessed Value'!E31)*'Assessed Value'!G31)/12</f>
        <v>23.200768441356956</v>
      </c>
      <c r="AK47" s="58">
        <f t="shared" si="15"/>
        <v>111.81233641396243</v>
      </c>
      <c r="AL47" s="58">
        <f t="shared" si="31"/>
        <v>59</v>
      </c>
      <c r="AP47"/>
      <c r="AQ47"/>
      <c r="AS47" s="78">
        <f t="shared" si="17"/>
        <v>274.5370074547391</v>
      </c>
      <c r="AT47" s="79">
        <f t="shared" si="18"/>
        <v>0.686771750981211</v>
      </c>
      <c r="AU47" s="85">
        <f t="shared" si="34"/>
        <v>19259.765084049483</v>
      </c>
      <c r="AV47"/>
      <c r="AW47"/>
      <c r="AX47"/>
      <c r="AY47"/>
      <c r="AZ47"/>
      <c r="BA47"/>
      <c r="BB47"/>
      <c r="BC47"/>
      <c r="BD47"/>
      <c r="BE47"/>
      <c r="BF47"/>
      <c r="BG47"/>
      <c r="BI47"/>
      <c r="BJ47"/>
      <c r="BK47"/>
      <c r="BL47"/>
    </row>
    <row r="48" spans="1:64" ht="13.5" customHeight="1">
      <c r="A48" s="9" t="s">
        <v>34</v>
      </c>
      <c r="B48" s="9"/>
      <c r="C48" s="9" t="s">
        <v>137</v>
      </c>
      <c r="D48" s="150">
        <v>1310000</v>
      </c>
      <c r="E48" s="150">
        <v>270000</v>
      </c>
      <c r="F48" s="150">
        <v>210000</v>
      </c>
      <c r="G48" s="150">
        <v>830000</v>
      </c>
      <c r="H48" s="10">
        <f t="shared" si="24"/>
        <v>353250</v>
      </c>
      <c r="I48" s="5">
        <v>138608</v>
      </c>
      <c r="J48" s="5">
        <v>785</v>
      </c>
      <c r="K48" s="151">
        <v>342</v>
      </c>
      <c r="L48" s="151">
        <v>111</v>
      </c>
      <c r="M48" s="12">
        <f t="shared" si="25"/>
        <v>295.75</v>
      </c>
      <c r="N48" s="23">
        <f t="shared" si="26"/>
        <v>11603.169696969697</v>
      </c>
      <c r="O48" s="23">
        <f t="shared" si="27"/>
        <v>13345</v>
      </c>
      <c r="P48" s="23">
        <f t="shared" si="32"/>
        <v>13338</v>
      </c>
      <c r="Q48" s="23">
        <v>28800</v>
      </c>
      <c r="R48" s="23">
        <f t="shared" si="28"/>
        <v>73794.78666666667</v>
      </c>
      <c r="S48" s="23">
        <f t="shared" si="8"/>
        <v>41.58624213393444</v>
      </c>
      <c r="T48" s="24">
        <f t="shared" si="29"/>
        <v>59</v>
      </c>
      <c r="U48" s="72">
        <f t="shared" si="9"/>
        <v>208.2480716408925</v>
      </c>
      <c r="V48" s="73">
        <f t="shared" si="30"/>
        <v>0.7041354916006509</v>
      </c>
      <c r="W48" s="69">
        <f t="shared" si="33"/>
        <v>10144.767640063417</v>
      </c>
      <c r="Y48" s="101">
        <f t="shared" si="22"/>
        <v>6720.75</v>
      </c>
      <c r="Z48" s="55">
        <f t="shared" si="11"/>
        <v>3.7874049027895182</v>
      </c>
      <c r="AA48" s="55">
        <f t="shared" si="12"/>
        <v>62.78740490278952</v>
      </c>
      <c r="AB48" s="102">
        <f>((Y48/'Assessed Value'!E32)*'Assessed Value'!G32)/12</f>
        <v>1.599418556698102</v>
      </c>
      <c r="AC48" s="84"/>
      <c r="AD48" s="107">
        <f>'Debt Service'!K245</f>
        <v>59022.22222222222</v>
      </c>
      <c r="AE48" s="107">
        <f t="shared" si="13"/>
        <v>33.26132556901788</v>
      </c>
      <c r="AF48" s="107">
        <f t="shared" si="14"/>
        <v>92.26132556901788</v>
      </c>
      <c r="AG48" s="107">
        <f>((AD48/'Assessed Value'!E32)*'Assessed Value'!G32)/12</f>
        <v>14.046235536179937</v>
      </c>
      <c r="AH48" s="157">
        <f>(AD48/'Assessed Value'!E32)*1000</f>
        <v>0.2140992320639008</v>
      </c>
      <c r="AI48" s="24"/>
      <c r="AJ48" s="58">
        <f>(((AD48+Y48)/'Assessed Value'!E32)*'Assessed Value'!G32)/12</f>
        <v>15.64565409287804</v>
      </c>
      <c r="AK48" s="58">
        <f t="shared" si="15"/>
        <v>96.0487304718074</v>
      </c>
      <c r="AL48" s="58">
        <f t="shared" si="31"/>
        <v>59</v>
      </c>
      <c r="AP48"/>
      <c r="AQ48"/>
      <c r="AS48" s="78">
        <f t="shared" si="17"/>
        <v>196.4717429889954</v>
      </c>
      <c r="AT48" s="79">
        <f t="shared" si="18"/>
        <v>0.6643169669957579</v>
      </c>
      <c r="AU48" s="85">
        <f t="shared" si="34"/>
        <v>14249.094493077258</v>
      </c>
      <c r="AV48"/>
      <c r="AW48"/>
      <c r="AX48"/>
      <c r="AY48"/>
      <c r="AZ48"/>
      <c r="BA48"/>
      <c r="BB48"/>
      <c r="BC48"/>
      <c r="BD48"/>
      <c r="BE48"/>
      <c r="BF48"/>
      <c r="BG48"/>
      <c r="BI48"/>
      <c r="BJ48"/>
      <c r="BK48"/>
      <c r="BL48"/>
    </row>
    <row r="49" spans="1:64" ht="13.5" customHeight="1">
      <c r="A49" s="9" t="s">
        <v>34</v>
      </c>
      <c r="B49" s="9"/>
      <c r="C49" s="9" t="s">
        <v>138</v>
      </c>
      <c r="D49" s="150">
        <v>1700000</v>
      </c>
      <c r="E49" s="150">
        <v>350000</v>
      </c>
      <c r="F49" s="150">
        <v>290000</v>
      </c>
      <c r="G49" s="150">
        <v>1060000</v>
      </c>
      <c r="H49" s="10">
        <f t="shared" si="24"/>
        <v>498600</v>
      </c>
      <c r="I49" s="5">
        <v>197170</v>
      </c>
      <c r="J49" s="5">
        <v>1108</v>
      </c>
      <c r="K49" s="151">
        <v>356</v>
      </c>
      <c r="L49" s="151">
        <v>21</v>
      </c>
      <c r="M49" s="12">
        <f t="shared" si="25"/>
        <v>347.25</v>
      </c>
      <c r="N49" s="23">
        <f t="shared" si="26"/>
        <v>16505.51893939394</v>
      </c>
      <c r="O49" s="23">
        <f t="shared" si="27"/>
        <v>18836</v>
      </c>
      <c r="P49" s="23">
        <f t="shared" si="32"/>
        <v>13884</v>
      </c>
      <c r="Q49" s="23">
        <v>28800</v>
      </c>
      <c r="R49" s="23">
        <f t="shared" si="28"/>
        <v>85828.07083333333</v>
      </c>
      <c r="S49" s="23">
        <f t="shared" si="8"/>
        <v>41.19417846572274</v>
      </c>
      <c r="T49" s="24">
        <f t="shared" si="29"/>
        <v>59</v>
      </c>
      <c r="U49" s="72">
        <f t="shared" si="9"/>
        <v>242.2058664446702</v>
      </c>
      <c r="V49" s="73">
        <f t="shared" si="30"/>
        <v>0.6974970955930028</v>
      </c>
      <c r="W49" s="69">
        <f t="shared" si="33"/>
        <v>11911.31213190878</v>
      </c>
      <c r="Y49" s="101">
        <f t="shared" si="22"/>
        <v>8202.6</v>
      </c>
      <c r="Z49" s="55">
        <f t="shared" si="11"/>
        <v>3.9369330453563713</v>
      </c>
      <c r="AA49" s="55">
        <f t="shared" si="12"/>
        <v>62.93693304535637</v>
      </c>
      <c r="AB49" s="102">
        <f>((Y49/'Assessed Value'!E33)*'Assessed Value'!G33)/12</f>
        <v>0.9241693737360337</v>
      </c>
      <c r="AC49" s="84"/>
      <c r="AD49" s="107">
        <f>'Debt Service'!K253</f>
        <v>75377.77777777778</v>
      </c>
      <c r="AE49" s="107">
        <f t="shared" si="13"/>
        <v>36.17843905820868</v>
      </c>
      <c r="AF49" s="107">
        <f t="shared" si="14"/>
        <v>95.17843905820868</v>
      </c>
      <c r="AG49" s="107">
        <f>((AD49/'Assessed Value'!E33)*'Assessed Value'!G33)/12</f>
        <v>8.492652778692465</v>
      </c>
      <c r="AH49" s="157">
        <f>(AD49/'Assessed Value'!E33)*1000</f>
        <v>0.6033771431388679</v>
      </c>
      <c r="AI49" s="24"/>
      <c r="AJ49" s="58">
        <f>(((AD49+Y49)/'Assessed Value'!E33)*'Assessed Value'!G33)/12</f>
        <v>9.416822152428498</v>
      </c>
      <c r="AK49" s="58">
        <f t="shared" si="15"/>
        <v>99.11537210356505</v>
      </c>
      <c r="AL49" s="58">
        <f t="shared" si="31"/>
        <v>59</v>
      </c>
      <c r="AP49"/>
      <c r="AQ49"/>
      <c r="AS49" s="78">
        <f t="shared" si="17"/>
        <v>228.50924077032306</v>
      </c>
      <c r="AT49" s="79">
        <f t="shared" si="18"/>
        <v>0.6580539691010023</v>
      </c>
      <c r="AU49" s="85">
        <f t="shared" si="34"/>
        <v>16730.340026106773</v>
      </c>
      <c r="AV49"/>
      <c r="AW49"/>
      <c r="AX49"/>
      <c r="AY49"/>
      <c r="AZ49"/>
      <c r="BA49"/>
      <c r="BB49"/>
      <c r="BC49"/>
      <c r="BD49"/>
      <c r="BE49"/>
      <c r="BF49"/>
      <c r="BG49"/>
      <c r="BI49"/>
      <c r="BJ49"/>
      <c r="BK49"/>
      <c r="BL49"/>
    </row>
    <row r="50" spans="1:64" ht="13.5" customHeight="1">
      <c r="A50" s="9" t="s">
        <v>34</v>
      </c>
      <c r="B50" s="9"/>
      <c r="C50" s="9" t="s">
        <v>139</v>
      </c>
      <c r="D50" s="150">
        <v>1540000</v>
      </c>
      <c r="E50" s="150">
        <v>250000</v>
      </c>
      <c r="F50" s="150">
        <v>270000</v>
      </c>
      <c r="G50" s="150">
        <v>1020000</v>
      </c>
      <c r="H50" s="10">
        <f t="shared" si="24"/>
        <v>374850</v>
      </c>
      <c r="I50" s="5">
        <v>152975</v>
      </c>
      <c r="J50" s="5">
        <v>833</v>
      </c>
      <c r="K50" s="151">
        <v>198</v>
      </c>
      <c r="L50" s="151">
        <v>61</v>
      </c>
      <c r="M50" s="12">
        <f t="shared" si="25"/>
        <v>172.58333333333334</v>
      </c>
      <c r="N50" s="23">
        <f t="shared" si="26"/>
        <v>12805.861742424242</v>
      </c>
      <c r="O50" s="23">
        <f t="shared" si="27"/>
        <v>14161</v>
      </c>
      <c r="P50" s="23">
        <f t="shared" si="32"/>
        <v>7722</v>
      </c>
      <c r="Q50" s="23">
        <v>28800</v>
      </c>
      <c r="R50" s="23">
        <f t="shared" si="28"/>
        <v>69837.74791666667</v>
      </c>
      <c r="S50" s="23">
        <f t="shared" si="8"/>
        <v>67.4435035409625</v>
      </c>
      <c r="T50" s="24">
        <f t="shared" si="29"/>
        <v>59</v>
      </c>
      <c r="U50" s="72">
        <f t="shared" si="9"/>
        <v>197.08135206193327</v>
      </c>
      <c r="V50" s="73">
        <f t="shared" si="30"/>
        <v>1.141948925515789</v>
      </c>
      <c r="W50" s="69">
        <f t="shared" si="33"/>
        <v>5919.924988044897</v>
      </c>
      <c r="Y50" s="101">
        <f t="shared" si="22"/>
        <v>8056.349999999999</v>
      </c>
      <c r="Z50" s="55">
        <f t="shared" si="11"/>
        <v>7.780154514727184</v>
      </c>
      <c r="AA50" s="55">
        <f t="shared" si="12"/>
        <v>66.78015451472719</v>
      </c>
      <c r="AB50" s="102">
        <f>((Y50/'Assessed Value'!E34)*'Assessed Value'!G34)/12</f>
        <v>3.0506325167185455</v>
      </c>
      <c r="AC50" s="84"/>
      <c r="AD50" s="107">
        <f>'Debt Service'!K261</f>
        <v>72533.33333333333</v>
      </c>
      <c r="AE50" s="107">
        <f t="shared" si="13"/>
        <v>70.0466763238371</v>
      </c>
      <c r="AF50" s="107">
        <f t="shared" si="14"/>
        <v>129.04667632383712</v>
      </c>
      <c r="AG50" s="107">
        <f>((AD50/'Assessed Value'!E34)*'Assessed Value'!G34)/12</f>
        <v>27.46560728030086</v>
      </c>
      <c r="AH50" s="157">
        <f>(AD50/'Assessed Value'!E34)*1000</f>
        <v>1.4018540253913</v>
      </c>
      <c r="AI50" s="24"/>
      <c r="AJ50" s="58">
        <f>(((AD50+Y50)/'Assessed Value'!E34)*'Assessed Value'!G34)/12</f>
        <v>30.516239797019406</v>
      </c>
      <c r="AK50" s="58">
        <f t="shared" si="15"/>
        <v>136.8268308385643</v>
      </c>
      <c r="AL50" s="58">
        <f t="shared" si="31"/>
        <v>59</v>
      </c>
      <c r="AP50"/>
      <c r="AQ50"/>
      <c r="AS50" s="78">
        <f t="shared" si="17"/>
        <v>185.93649605076325</v>
      </c>
      <c r="AT50" s="79">
        <f t="shared" si="18"/>
        <v>1.0773722610377396</v>
      </c>
      <c r="AU50" s="85">
        <f t="shared" si="34"/>
        <v>8314.983007935476</v>
      </c>
      <c r="AV50"/>
      <c r="AW50"/>
      <c r="AX50"/>
      <c r="AY50"/>
      <c r="AZ50"/>
      <c r="BA50"/>
      <c r="BB50"/>
      <c r="BC50"/>
      <c r="BD50"/>
      <c r="BE50"/>
      <c r="BF50"/>
      <c r="BG50"/>
      <c r="BI50"/>
      <c r="BJ50"/>
      <c r="BK50"/>
      <c r="BL50"/>
    </row>
    <row r="51" spans="1:64" ht="13.5" customHeight="1">
      <c r="A51" s="9" t="s">
        <v>34</v>
      </c>
      <c r="B51" s="9"/>
      <c r="C51" s="9" t="s">
        <v>140</v>
      </c>
      <c r="D51" s="150">
        <v>1590000</v>
      </c>
      <c r="E51" s="150">
        <v>310000</v>
      </c>
      <c r="F51" s="150">
        <v>270000</v>
      </c>
      <c r="G51" s="150">
        <v>1010000</v>
      </c>
      <c r="H51" s="10">
        <f t="shared" si="24"/>
        <v>351450</v>
      </c>
      <c r="I51" s="5">
        <v>165239</v>
      </c>
      <c r="J51" s="5">
        <v>781</v>
      </c>
      <c r="K51" s="12">
        <v>279</v>
      </c>
      <c r="L51" s="151">
        <v>49</v>
      </c>
      <c r="M51" s="12">
        <f t="shared" si="25"/>
        <v>258.5833333333333</v>
      </c>
      <c r="N51" s="23">
        <f t="shared" si="26"/>
        <v>13832.507196969696</v>
      </c>
      <c r="O51" s="23">
        <f t="shared" si="27"/>
        <v>13277</v>
      </c>
      <c r="P51" s="23">
        <f t="shared" si="32"/>
        <v>10881</v>
      </c>
      <c r="Q51" s="23">
        <v>28800</v>
      </c>
      <c r="R51" s="23">
        <f t="shared" si="28"/>
        <v>73469.55791666667</v>
      </c>
      <c r="S51" s="23">
        <f t="shared" si="8"/>
        <v>47.35388844129338</v>
      </c>
      <c r="T51" s="24">
        <f t="shared" si="29"/>
        <v>59</v>
      </c>
      <c r="U51" s="72">
        <f t="shared" si="9"/>
        <v>207.3302797061369</v>
      </c>
      <c r="V51" s="73">
        <f t="shared" si="30"/>
        <v>0.801792896059827</v>
      </c>
      <c r="W51" s="69">
        <f t="shared" si="33"/>
        <v>8869.882780252687</v>
      </c>
      <c r="Y51" s="101">
        <f t="shared" si="22"/>
        <v>8716.949999999999</v>
      </c>
      <c r="Z51" s="55">
        <f t="shared" si="11"/>
        <v>5.618401546890106</v>
      </c>
      <c r="AA51" s="55">
        <f t="shared" si="12"/>
        <v>64.61840154689011</v>
      </c>
      <c r="AB51" s="102">
        <f>((Y51/'Assessed Value'!E35)*'Assessed Value'!G35)/12</f>
        <v>2.3913318810390476</v>
      </c>
      <c r="AC51" s="84"/>
      <c r="AD51" s="107">
        <f>'Debt Service'!K269</f>
        <v>71822.22222222222</v>
      </c>
      <c r="AE51" s="107">
        <f t="shared" si="13"/>
        <v>46.29211873813872</v>
      </c>
      <c r="AF51" s="107">
        <f t="shared" si="14"/>
        <v>105.29211873813873</v>
      </c>
      <c r="AG51" s="107">
        <f>((AD51/'Assessed Value'!E35)*'Assessed Value'!G35)/12</f>
        <v>19.703080752679682</v>
      </c>
      <c r="AH51" s="157">
        <f>(AD51/'Assessed Value'!E35)*1000</f>
        <v>1.0841635583299944</v>
      </c>
      <c r="AI51" s="24"/>
      <c r="AJ51" s="58">
        <f>(((AD51+Y51)/'Assessed Value'!E35)*'Assessed Value'!G35)/12</f>
        <v>22.09441263371873</v>
      </c>
      <c r="AK51" s="58">
        <f t="shared" si="15"/>
        <v>110.91052028502884</v>
      </c>
      <c r="AL51" s="58">
        <f t="shared" si="31"/>
        <v>59</v>
      </c>
      <c r="AP51"/>
      <c r="AQ51"/>
      <c r="AS51" s="78">
        <f t="shared" si="17"/>
        <v>195.60585174831385</v>
      </c>
      <c r="AT51" s="79">
        <f t="shared" si="18"/>
        <v>0.7564518920334407</v>
      </c>
      <c r="AU51" s="85">
        <f t="shared" si="34"/>
        <v>12458.422150470196</v>
      </c>
      <c r="AV51"/>
      <c r="AW51"/>
      <c r="AX51"/>
      <c r="AY51"/>
      <c r="AZ51"/>
      <c r="BA51"/>
      <c r="BB51"/>
      <c r="BC51"/>
      <c r="BD51"/>
      <c r="BE51"/>
      <c r="BF51"/>
      <c r="BG51"/>
      <c r="BI51"/>
      <c r="BJ51"/>
      <c r="BK51"/>
      <c r="BL51"/>
    </row>
    <row r="52" spans="1:64" ht="13.5" customHeight="1">
      <c r="A52" s="9" t="s">
        <v>34</v>
      </c>
      <c r="B52" s="9"/>
      <c r="C52" s="9" t="s">
        <v>141</v>
      </c>
      <c r="D52" s="150">
        <v>1080000</v>
      </c>
      <c r="E52" s="150">
        <v>130000</v>
      </c>
      <c r="F52" s="150">
        <v>200000</v>
      </c>
      <c r="G52" s="150">
        <v>750000</v>
      </c>
      <c r="H52" s="10">
        <f t="shared" si="24"/>
        <v>126900</v>
      </c>
      <c r="I52" s="5">
        <v>61013</v>
      </c>
      <c r="J52" s="5">
        <v>282</v>
      </c>
      <c r="K52" s="151">
        <v>77</v>
      </c>
      <c r="L52" s="151">
        <v>13</v>
      </c>
      <c r="M52" s="12">
        <f t="shared" si="25"/>
        <v>71.58333333333333</v>
      </c>
      <c r="N52" s="23">
        <f t="shared" si="26"/>
        <v>5107.527651515152</v>
      </c>
      <c r="O52" s="23">
        <f t="shared" si="27"/>
        <v>4794</v>
      </c>
      <c r="P52" s="23">
        <f t="shared" si="32"/>
        <v>3003</v>
      </c>
      <c r="Q52" s="23">
        <v>28800</v>
      </c>
      <c r="R52" s="23">
        <f t="shared" si="28"/>
        <v>45874.980416666665</v>
      </c>
      <c r="S52" s="23">
        <f t="shared" si="8"/>
        <v>106.81019887466046</v>
      </c>
      <c r="T52" s="24">
        <f t="shared" si="29"/>
        <v>59</v>
      </c>
      <c r="U52" s="72">
        <f t="shared" si="9"/>
        <v>129.45868725777927</v>
      </c>
      <c r="V52" s="73">
        <f t="shared" si="30"/>
        <v>1.8085031980132147</v>
      </c>
      <c r="W52" s="69">
        <f t="shared" si="33"/>
        <v>2455.4396739403987</v>
      </c>
      <c r="Y52" s="101">
        <f t="shared" si="22"/>
        <v>6777.9</v>
      </c>
      <c r="Z52" s="55">
        <f t="shared" si="11"/>
        <v>15.780908032596043</v>
      </c>
      <c r="AA52" s="55">
        <f t="shared" si="12"/>
        <v>74.78090803259605</v>
      </c>
      <c r="AB52" s="102">
        <f>((Y52/'Assessed Value'!E36)*'Assessed Value'!G36)/12</f>
        <v>2.7307320702657893</v>
      </c>
      <c r="AC52" s="84"/>
      <c r="AD52" s="107">
        <f>'Debt Service'!K277</f>
        <v>53333.333333333336</v>
      </c>
      <c r="AE52" s="107">
        <f t="shared" si="13"/>
        <v>124.17539774932092</v>
      </c>
      <c r="AF52" s="107">
        <f t="shared" si="14"/>
        <v>183.17539774932092</v>
      </c>
      <c r="AG52" s="107">
        <f>((AD52/'Assessed Value'!E36)*'Assessed Value'!G36)/12</f>
        <v>21.487340289397718</v>
      </c>
      <c r="AH52" s="157">
        <f>(AD52/'Assessed Value'!E36)*1000</f>
        <v>2.0633433246865063</v>
      </c>
      <c r="AI52" s="24"/>
      <c r="AJ52" s="58">
        <f>(((AD52+Y52)/'Assessed Value'!E36)*'Assessed Value'!G36)/12</f>
        <v>24.218072359663505</v>
      </c>
      <c r="AK52" s="58">
        <f t="shared" si="15"/>
        <v>198.95630578191697</v>
      </c>
      <c r="AL52" s="58">
        <f t="shared" si="31"/>
        <v>59</v>
      </c>
      <c r="AP52"/>
      <c r="AQ52"/>
      <c r="AS52" s="78">
        <f t="shared" si="17"/>
        <v>122.1378605342563</v>
      </c>
      <c r="AT52" s="79">
        <f t="shared" si="18"/>
        <v>1.7062332088603909</v>
      </c>
      <c r="AU52" s="85">
        <f t="shared" si="34"/>
        <v>3448.850991702836</v>
      </c>
      <c r="AV52"/>
      <c r="AW52"/>
      <c r="AX52"/>
      <c r="AY52"/>
      <c r="AZ52"/>
      <c r="BA52"/>
      <c r="BB52"/>
      <c r="BC52"/>
      <c r="BD52"/>
      <c r="BE52"/>
      <c r="BF52"/>
      <c r="BG52"/>
      <c r="BI52"/>
      <c r="BJ52"/>
      <c r="BK52"/>
      <c r="BL52"/>
    </row>
    <row r="53" spans="1:64" ht="13.5" customHeight="1">
      <c r="A53" s="9" t="s">
        <v>34</v>
      </c>
      <c r="B53" s="9"/>
      <c r="C53" s="9" t="s">
        <v>142</v>
      </c>
      <c r="D53" s="150">
        <v>1250000</v>
      </c>
      <c r="E53" s="150">
        <v>230000</v>
      </c>
      <c r="F53" s="150">
        <v>220000</v>
      </c>
      <c r="G53" s="150">
        <v>800000</v>
      </c>
      <c r="H53" s="10">
        <f t="shared" si="24"/>
        <v>283500</v>
      </c>
      <c r="I53" s="5">
        <v>119655</v>
      </c>
      <c r="J53" s="5">
        <v>630</v>
      </c>
      <c r="K53" s="151">
        <v>148</v>
      </c>
      <c r="L53" s="12">
        <v>68</v>
      </c>
      <c r="M53" s="12">
        <f t="shared" si="25"/>
        <v>119.66666666666666</v>
      </c>
      <c r="N53" s="23">
        <f t="shared" si="26"/>
        <v>10016.573863636364</v>
      </c>
      <c r="O53" s="23">
        <f t="shared" si="27"/>
        <v>10710</v>
      </c>
      <c r="P53" s="23">
        <f t="shared" si="32"/>
        <v>5772</v>
      </c>
      <c r="Q53" s="23">
        <v>28800</v>
      </c>
      <c r="R53" s="23">
        <f t="shared" si="28"/>
        <v>60828.43125000001</v>
      </c>
      <c r="S53" s="23">
        <f t="shared" si="8"/>
        <v>84.7192635793872</v>
      </c>
      <c r="T53" s="24">
        <f t="shared" si="29"/>
        <v>59</v>
      </c>
      <c r="U53" s="72">
        <f t="shared" si="9"/>
        <v>171.65716009143247</v>
      </c>
      <c r="V53" s="73">
        <f t="shared" si="30"/>
        <v>1.4344609478392687</v>
      </c>
      <c r="W53" s="69">
        <f t="shared" si="33"/>
        <v>4104.786230242623</v>
      </c>
      <c r="Y53" s="101">
        <f t="shared" si="22"/>
        <v>6718.5</v>
      </c>
      <c r="Z53" s="55">
        <f t="shared" si="11"/>
        <v>9.35724233983287</v>
      </c>
      <c r="AA53" s="55">
        <f t="shared" si="12"/>
        <v>68.35724233983287</v>
      </c>
      <c r="AB53" s="102">
        <f>((Y53/'Assessed Value'!E37)*'Assessed Value'!G37)/12</f>
        <v>3.6722968863999674</v>
      </c>
      <c r="AC53" s="84"/>
      <c r="AD53" s="107">
        <f>'Debt Service'!K285</f>
        <v>56888.88888888889</v>
      </c>
      <c r="AE53" s="107">
        <f t="shared" si="13"/>
        <v>79.23243577839678</v>
      </c>
      <c r="AF53" s="107">
        <f t="shared" si="14"/>
        <v>138.2324357783968</v>
      </c>
      <c r="AG53" s="107">
        <f>((AD53/'Assessed Value'!E37)*'Assessed Value'!G37)/12</f>
        <v>31.095168495560074</v>
      </c>
      <c r="AH53" s="157">
        <f>(AD53/'Assessed Value'!E37)*1000</f>
        <v>0.6663917748533539</v>
      </c>
      <c r="AI53" s="24"/>
      <c r="AJ53" s="58">
        <f>(((AD53+Y53)/'Assessed Value'!E37)*'Assessed Value'!G37)/12</f>
        <v>34.767465381960044</v>
      </c>
      <c r="AK53" s="58">
        <f t="shared" si="15"/>
        <v>147.58967811822964</v>
      </c>
      <c r="AL53" s="58">
        <f t="shared" si="31"/>
        <v>59</v>
      </c>
      <c r="AP53"/>
      <c r="AQ53"/>
      <c r="AS53" s="78">
        <f t="shared" si="17"/>
        <v>161.9500299520767</v>
      </c>
      <c r="AT53" s="79">
        <f t="shared" si="18"/>
        <v>1.3533428686803068</v>
      </c>
      <c r="AU53" s="85">
        <f t="shared" si="34"/>
        <v>5765.483147945602</v>
      </c>
      <c r="AV53"/>
      <c r="AW53"/>
      <c r="AX53"/>
      <c r="AY53"/>
      <c r="AZ53"/>
      <c r="BA53"/>
      <c r="BB53"/>
      <c r="BC53"/>
      <c r="BD53"/>
      <c r="BE53"/>
      <c r="BF53"/>
      <c r="BG53"/>
      <c r="BI53"/>
      <c r="BJ53"/>
      <c r="BK53"/>
      <c r="BL53"/>
    </row>
    <row r="54" spans="1:64" ht="13.5" customHeight="1">
      <c r="A54" s="9" t="s">
        <v>34</v>
      </c>
      <c r="B54" s="9"/>
      <c r="C54" s="9" t="s">
        <v>89</v>
      </c>
      <c r="D54" s="150">
        <v>4870000</v>
      </c>
      <c r="E54" s="150">
        <v>1080000</v>
      </c>
      <c r="F54" s="150">
        <v>690000</v>
      </c>
      <c r="G54" s="150">
        <v>3100000</v>
      </c>
      <c r="H54" s="10">
        <f t="shared" si="24"/>
        <v>1089450</v>
      </c>
      <c r="I54" s="5">
        <v>427329</v>
      </c>
      <c r="J54" s="5">
        <v>2421</v>
      </c>
      <c r="K54" s="151">
        <v>1701</v>
      </c>
      <c r="L54" s="151">
        <v>938</v>
      </c>
      <c r="M54" s="12">
        <f t="shared" si="25"/>
        <v>1310.1666666666665</v>
      </c>
      <c r="N54" s="23">
        <f t="shared" si="26"/>
        <v>35772.61704545454</v>
      </c>
      <c r="O54" s="23">
        <f t="shared" si="27"/>
        <v>41157</v>
      </c>
      <c r="P54" s="23">
        <f t="shared" si="32"/>
        <v>66339</v>
      </c>
      <c r="Q54" s="23">
        <v>28800</v>
      </c>
      <c r="R54" s="23">
        <f t="shared" si="28"/>
        <v>189275.47875</v>
      </c>
      <c r="S54" s="23">
        <f t="shared" si="8"/>
        <v>24.07778638213968</v>
      </c>
      <c r="T54" s="24">
        <f t="shared" si="29"/>
        <v>59</v>
      </c>
      <c r="U54" s="72">
        <f t="shared" si="9"/>
        <v>534.1333072299357</v>
      </c>
      <c r="V54" s="73">
        <f t="shared" si="30"/>
        <v>0.40768348090314394</v>
      </c>
      <c r="W54" s="69">
        <f t="shared" si="33"/>
        <v>44941.12055144465</v>
      </c>
      <c r="Y54" s="101">
        <f t="shared" si="22"/>
        <v>27814.95</v>
      </c>
      <c r="Z54" s="55">
        <f t="shared" si="11"/>
        <v>3.53834753848111</v>
      </c>
      <c r="AA54" s="55">
        <f t="shared" si="12"/>
        <v>62.53834753848111</v>
      </c>
      <c r="AB54" s="102">
        <f>((Y54/'Assessed Value'!E38)*'Assessed Value'!G38)/12</f>
        <v>1.2712072110782826</v>
      </c>
      <c r="AC54" s="84"/>
      <c r="AD54" s="107">
        <f>'Debt Service'!K293</f>
        <v>220444.44444444444</v>
      </c>
      <c r="AE54" s="107">
        <f t="shared" si="13"/>
        <v>28.04279919150801</v>
      </c>
      <c r="AF54" s="107">
        <f t="shared" si="14"/>
        <v>87.04279919150801</v>
      </c>
      <c r="AG54" s="107">
        <f>((AD54/'Assessed Value'!E38)*'Assessed Value'!G38)/12</f>
        <v>10.074818305261148</v>
      </c>
      <c r="AH54" s="157">
        <f>(AD54/'Assessed Value'!E38)*1000</f>
        <v>0.36206474027282026</v>
      </c>
      <c r="AI54" s="24"/>
      <c r="AJ54" s="58">
        <f>(((AD54+Y54)/'Assessed Value'!E38)*'Assessed Value'!G38)/12</f>
        <v>11.34602551633943</v>
      </c>
      <c r="AK54" s="58">
        <f t="shared" si="15"/>
        <v>90.58114672998911</v>
      </c>
      <c r="AL54" s="58">
        <f t="shared" si="31"/>
        <v>59</v>
      </c>
      <c r="AP54"/>
      <c r="AQ54"/>
      <c r="AS54" s="78">
        <f t="shared" si="17"/>
        <v>503.92832468051125</v>
      </c>
      <c r="AT54" s="79">
        <f t="shared" si="18"/>
        <v>0.38462917543354125</v>
      </c>
      <c r="AU54" s="85">
        <f t="shared" si="34"/>
        <v>63123.20755710359</v>
      </c>
      <c r="AV54"/>
      <c r="AW54"/>
      <c r="AX54"/>
      <c r="AY54"/>
      <c r="AZ54"/>
      <c r="BA54"/>
      <c r="BB54"/>
      <c r="BC54"/>
      <c r="BD54"/>
      <c r="BE54"/>
      <c r="BF54"/>
      <c r="BG54"/>
      <c r="BI54"/>
      <c r="BJ54"/>
      <c r="BK54"/>
      <c r="BL54"/>
    </row>
    <row r="55" spans="1:47" s="373" customFormat="1" ht="13.5" customHeight="1">
      <c r="A55" s="9" t="s">
        <v>34</v>
      </c>
      <c r="B55" s="9">
        <f>VLOOKUP(C55,'Input Data'!$C$2:$D$28,2,FALSE)</f>
        <v>23</v>
      </c>
      <c r="C55" s="363" t="s">
        <v>16</v>
      </c>
      <c r="D55" s="364">
        <v>1840000</v>
      </c>
      <c r="E55" s="364">
        <v>380000</v>
      </c>
      <c r="F55" s="364">
        <v>310000</v>
      </c>
      <c r="G55" s="364">
        <v>1150000</v>
      </c>
      <c r="H55" s="364">
        <f>J55*450</f>
        <v>436950</v>
      </c>
      <c r="I55" s="365">
        <v>181696</v>
      </c>
      <c r="J55" s="365">
        <v>971</v>
      </c>
      <c r="K55" s="366">
        <v>413</v>
      </c>
      <c r="L55" s="366">
        <v>59</v>
      </c>
      <c r="M55" s="366">
        <f>(K55-L55)+(L55*7/12)</f>
        <v>388.4166666666667</v>
      </c>
      <c r="N55" s="348">
        <f>442*I55/5280</f>
        <v>15210.157575757576</v>
      </c>
      <c r="O55" s="348">
        <f>J55*17</f>
        <v>16507</v>
      </c>
      <c r="P55" s="348">
        <f>39*K55</f>
        <v>16107</v>
      </c>
      <c r="Q55" s="348">
        <v>28800</v>
      </c>
      <c r="R55" s="348">
        <f>(N55+O55+P55+Q55)*1.1</f>
        <v>84286.57333333335</v>
      </c>
      <c r="S55" s="348">
        <f>R55/12/($AB$10*M55)</f>
        <v>36.16673389115355</v>
      </c>
      <c r="T55" s="65">
        <f>$AE$10*$AF$10+$AE$11*$AF$11+$AE$12*$AF$12</f>
        <v>59</v>
      </c>
      <c r="U55" s="72">
        <f>R55/((T55-(1-$AE$10)*$V$4-$AE$10*$W$4)*12)</f>
        <v>237.8557775520187</v>
      </c>
      <c r="V55" s="73">
        <f>U55/M55</f>
        <v>0.6123727377438799</v>
      </c>
      <c r="W55" s="69">
        <f t="shared" si="33"/>
        <v>13323.404330891966</v>
      </c>
      <c r="X55" s="65"/>
      <c r="Y55" s="101">
        <f>0.03*(D55-F55-H55)*0.3</f>
        <v>9837.449999999999</v>
      </c>
      <c r="Z55" s="55">
        <f>(Y55/(M55*$AB$10))/12</f>
        <v>4.22117571336623</v>
      </c>
      <c r="AA55" s="55">
        <f>T55+Z55</f>
        <v>63.22117571336623</v>
      </c>
      <c r="AB55" s="102">
        <f>((Y55/'Assessed Value'!E11)*'Assessed Value'!G11)/12</f>
        <v>1.7493253246374731</v>
      </c>
      <c r="AC55" s="67"/>
      <c r="AD55" s="107">
        <f>'Debt Service'!K141</f>
        <v>81777.77777777778</v>
      </c>
      <c r="AE55" s="107">
        <f>AD55/(12*$AB$10*M55)</f>
        <v>35.09022861093232</v>
      </c>
      <c r="AF55" s="107">
        <f>T55+AE55</f>
        <v>94.09022861093231</v>
      </c>
      <c r="AG55" s="107">
        <f>((AD55/'Assessed Value'!E11)*'Assessed Value'!G11)/12</f>
        <v>14.541973545913045</v>
      </c>
      <c r="AH55" s="157">
        <f>(AD55/'Assessed Value'!E11)*1000</f>
        <v>0.9078390219550235</v>
      </c>
      <c r="AI55" s="65"/>
      <c r="AJ55" s="58">
        <f>(((AD55+Y55)/'Assessed Value'!E11)*'Assessed Value'!G11)/12</f>
        <v>16.291298870550516</v>
      </c>
      <c r="AK55" s="58">
        <f>T55+Z55+AE55</f>
        <v>98.31140432429855</v>
      </c>
      <c r="AL55" s="58">
        <f>T55</f>
        <v>59</v>
      </c>
      <c r="AR55" s="374"/>
      <c r="AS55" s="78">
        <f>R55/((T55-(1-$AE$10)*$AS$4-$AE$10*$AT$4-$AU$4)*12)</f>
        <v>224.40514731984388</v>
      </c>
      <c r="AT55" s="79">
        <f>AS55/M55</f>
        <v>0.5777433528938267</v>
      </c>
      <c r="AU55" s="85">
        <f>(M55/$M$32)*$AU$32</f>
        <v>16099.805632981244</v>
      </c>
    </row>
    <row r="56" spans="1:64" ht="13.5" customHeight="1">
      <c r="A56" s="9" t="s">
        <v>34</v>
      </c>
      <c r="B56" s="9"/>
      <c r="C56" s="9" t="s">
        <v>143</v>
      </c>
      <c r="D56" s="150">
        <v>2530000</v>
      </c>
      <c r="E56" s="150">
        <v>460000</v>
      </c>
      <c r="F56" s="150">
        <v>420000</v>
      </c>
      <c r="G56" s="150">
        <v>1650000</v>
      </c>
      <c r="H56" s="10">
        <f t="shared" si="24"/>
        <v>702450</v>
      </c>
      <c r="I56" s="5">
        <v>253480</v>
      </c>
      <c r="J56" s="5">
        <v>1561</v>
      </c>
      <c r="K56" s="151">
        <v>546</v>
      </c>
      <c r="L56" s="151">
        <v>21</v>
      </c>
      <c r="M56" s="12">
        <f t="shared" si="25"/>
        <v>537.25</v>
      </c>
      <c r="N56" s="23">
        <f t="shared" si="26"/>
        <v>21219.348484848484</v>
      </c>
      <c r="O56" s="23">
        <f t="shared" si="27"/>
        <v>26537</v>
      </c>
      <c r="P56" s="23">
        <f t="shared" si="32"/>
        <v>21294</v>
      </c>
      <c r="Q56" s="23">
        <v>28800</v>
      </c>
      <c r="R56" s="23">
        <f t="shared" si="28"/>
        <v>107635.38333333333</v>
      </c>
      <c r="S56" s="23">
        <f t="shared" si="8"/>
        <v>33.39084328628302</v>
      </c>
      <c r="T56" s="24">
        <f t="shared" si="29"/>
        <v>59</v>
      </c>
      <c r="U56" s="72">
        <f t="shared" si="9"/>
        <v>303.7458610828912</v>
      </c>
      <c r="V56" s="73">
        <f t="shared" si="30"/>
        <v>0.5653715422668986</v>
      </c>
      <c r="W56" s="69">
        <f t="shared" si="33"/>
        <v>18428.66074260041</v>
      </c>
      <c r="Y56" s="101">
        <f t="shared" si="22"/>
        <v>12667.949999999999</v>
      </c>
      <c r="Z56" s="55">
        <f t="shared" si="11"/>
        <v>3.9298743601675192</v>
      </c>
      <c r="AA56" s="55">
        <f t="shared" si="12"/>
        <v>62.92987436016752</v>
      </c>
      <c r="AB56" s="102">
        <f>((Y56/'Assessed Value'!E39)*'Assessed Value'!G39)/12</f>
        <v>1.7175974130130325</v>
      </c>
      <c r="AC56" s="84"/>
      <c r="AD56" s="107">
        <f>'Debt Service'!K301</f>
        <v>117333.33333333334</v>
      </c>
      <c r="AE56" s="107">
        <f t="shared" si="13"/>
        <v>36.39935887492891</v>
      </c>
      <c r="AF56" s="107">
        <f t="shared" si="14"/>
        <v>95.39935887492891</v>
      </c>
      <c r="AG56" s="107">
        <f>((AD56/'Assessed Value'!E39)*'Assessed Value'!G39)/12</f>
        <v>15.908764227324012</v>
      </c>
      <c r="AH56" s="157">
        <f>(AD56/'Assessed Value'!E39)*1000</f>
        <v>0.7844024636405615</v>
      </c>
      <c r="AI56" s="24"/>
      <c r="AJ56" s="58">
        <f>(((AD56+Y56)/'Assessed Value'!E39)*'Assessed Value'!G39)/12</f>
        <v>17.62636164033704</v>
      </c>
      <c r="AK56" s="58">
        <f t="shared" si="15"/>
        <v>99.32923323509642</v>
      </c>
      <c r="AL56" s="58">
        <f t="shared" si="31"/>
        <v>59</v>
      </c>
      <c r="AP56"/>
      <c r="AQ56"/>
      <c r="AS56" s="78">
        <f t="shared" si="17"/>
        <v>286.5691782037629</v>
      </c>
      <c r="AT56" s="79">
        <f t="shared" si="18"/>
        <v>0.533400052496534</v>
      </c>
      <c r="AU56" s="85">
        <f>(M56/$M$63)*$AU$63</f>
        <v>25884.449759613715</v>
      </c>
      <c r="AV56"/>
      <c r="AW56"/>
      <c r="AX56"/>
      <c r="AY56"/>
      <c r="AZ56"/>
      <c r="BA56"/>
      <c r="BB56"/>
      <c r="BC56"/>
      <c r="BD56"/>
      <c r="BE56"/>
      <c r="BF56"/>
      <c r="BG56"/>
      <c r="BI56"/>
      <c r="BJ56"/>
      <c r="BK56"/>
      <c r="BL56"/>
    </row>
    <row r="57" spans="1:64" ht="13.5" customHeight="1">
      <c r="A57" s="9" t="s">
        <v>34</v>
      </c>
      <c r="B57" s="9"/>
      <c r="C57" s="9" t="s">
        <v>144</v>
      </c>
      <c r="D57" s="150">
        <v>4400000</v>
      </c>
      <c r="E57" s="150">
        <v>910000</v>
      </c>
      <c r="F57" s="150">
        <v>640000</v>
      </c>
      <c r="G57" s="150">
        <v>2850000</v>
      </c>
      <c r="H57" s="10">
        <f t="shared" si="24"/>
        <v>1067850</v>
      </c>
      <c r="I57" s="5">
        <v>364281</v>
      </c>
      <c r="J57" s="5">
        <v>2373</v>
      </c>
      <c r="K57" s="151">
        <v>1339</v>
      </c>
      <c r="L57" s="151">
        <v>15</v>
      </c>
      <c r="M57" s="12">
        <f t="shared" si="25"/>
        <v>1332.75</v>
      </c>
      <c r="N57" s="23">
        <f t="shared" si="26"/>
        <v>30494.735227272726</v>
      </c>
      <c r="O57" s="23">
        <f t="shared" si="27"/>
        <v>40341</v>
      </c>
      <c r="P57" s="23">
        <f t="shared" si="32"/>
        <v>52221</v>
      </c>
      <c r="Q57" s="23">
        <v>28800</v>
      </c>
      <c r="R57" s="23">
        <f t="shared" si="28"/>
        <v>167042.40875</v>
      </c>
      <c r="S57" s="23">
        <f t="shared" si="8"/>
        <v>20.889440223847934</v>
      </c>
      <c r="T57" s="24">
        <f t="shared" si="29"/>
        <v>59</v>
      </c>
      <c r="U57" s="72">
        <f t="shared" si="9"/>
        <v>471.3918296365278</v>
      </c>
      <c r="V57" s="73">
        <f t="shared" si="30"/>
        <v>0.35369861537162095</v>
      </c>
      <c r="W57" s="69">
        <f t="shared" si="33"/>
        <v>45715.77032052247</v>
      </c>
      <c r="Y57" s="101">
        <f t="shared" si="22"/>
        <v>24229.35</v>
      </c>
      <c r="Z57" s="55">
        <f t="shared" si="11"/>
        <v>3.029994372537985</v>
      </c>
      <c r="AA57" s="55">
        <f t="shared" si="12"/>
        <v>62.029994372537985</v>
      </c>
      <c r="AB57" s="102">
        <f>((Y57/'Assessed Value'!E40)*'Assessed Value'!G40)/12</f>
        <v>1.4476566315663701</v>
      </c>
      <c r="AC57" s="84"/>
      <c r="AD57" s="107">
        <f>'Debt Service'!K309</f>
        <v>202666.6666666667</v>
      </c>
      <c r="AE57" s="107">
        <f t="shared" si="13"/>
        <v>25.34442151774735</v>
      </c>
      <c r="AF57" s="107">
        <f t="shared" si="14"/>
        <v>84.34442151774735</v>
      </c>
      <c r="AG57" s="107">
        <f>((AD57/'Assessed Value'!E40)*'Assessed Value'!G40)/12</f>
        <v>12.108939942567632</v>
      </c>
      <c r="AH57" s="157">
        <f>(AD57/'Assessed Value'!E40)*1000</f>
        <v>0.4528136107322838</v>
      </c>
      <c r="AI57" s="24"/>
      <c r="AJ57" s="58">
        <f>(((AD57+Y57)/'Assessed Value'!E40)*'Assessed Value'!G40)/12</f>
        <v>13.556596574134003</v>
      </c>
      <c r="AK57" s="58">
        <f t="shared" si="15"/>
        <v>87.37441589028533</v>
      </c>
      <c r="AL57" s="58">
        <f t="shared" si="31"/>
        <v>59</v>
      </c>
      <c r="AP57"/>
      <c r="AQ57"/>
      <c r="AS57" s="78">
        <f t="shared" si="17"/>
        <v>444.73484757720985</v>
      </c>
      <c r="AT57" s="79">
        <f t="shared" si="18"/>
        <v>0.3336971281764846</v>
      </c>
      <c r="AU57" s="85">
        <f>(M57/$M$63)*$AU$63</f>
        <v>64211.2618280599</v>
      </c>
      <c r="AV57"/>
      <c r="AW57"/>
      <c r="AX57"/>
      <c r="AY57"/>
      <c r="AZ57"/>
      <c r="BA57"/>
      <c r="BB57"/>
      <c r="BC57"/>
      <c r="BD57"/>
      <c r="BE57"/>
      <c r="BF57"/>
      <c r="BG57"/>
      <c r="BI57"/>
      <c r="BJ57"/>
      <c r="BK57"/>
      <c r="BL57"/>
    </row>
    <row r="58" spans="1:64" ht="13.5" customHeight="1">
      <c r="A58" s="9" t="s">
        <v>34</v>
      </c>
      <c r="B58" s="9"/>
      <c r="C58" s="9" t="s">
        <v>145</v>
      </c>
      <c r="D58" s="10">
        <v>1760000</v>
      </c>
      <c r="E58" s="10">
        <v>350000</v>
      </c>
      <c r="F58" s="10">
        <v>300000</v>
      </c>
      <c r="G58" s="10">
        <v>1110000</v>
      </c>
      <c r="H58" s="10">
        <f t="shared" si="24"/>
        <v>330750</v>
      </c>
      <c r="I58" s="11">
        <v>170912</v>
      </c>
      <c r="J58" s="11">
        <v>735</v>
      </c>
      <c r="K58" s="12">
        <v>357</v>
      </c>
      <c r="L58" s="12">
        <v>39</v>
      </c>
      <c r="M58" s="12">
        <f t="shared" si="25"/>
        <v>340.75</v>
      </c>
      <c r="N58" s="23">
        <f t="shared" si="26"/>
        <v>14307.406060606061</v>
      </c>
      <c r="O58" s="23">
        <f t="shared" si="27"/>
        <v>12495</v>
      </c>
      <c r="P58" s="23">
        <f t="shared" si="32"/>
        <v>13923</v>
      </c>
      <c r="Q58" s="23">
        <v>28800</v>
      </c>
      <c r="R58" s="23">
        <f t="shared" si="28"/>
        <v>76477.94666666668</v>
      </c>
      <c r="S58" s="23">
        <f t="shared" si="8"/>
        <v>37.40667481861907</v>
      </c>
      <c r="T58" s="24">
        <f t="shared" si="29"/>
        <v>59</v>
      </c>
      <c r="U58" s="191">
        <f t="shared" si="9"/>
        <v>215.81991947924902</v>
      </c>
      <c r="V58" s="192">
        <f t="shared" si="30"/>
        <v>0.633367335228904</v>
      </c>
      <c r="W58" s="403">
        <f t="shared" si="33"/>
        <v>11688.35020575354</v>
      </c>
      <c r="X58" s="415"/>
      <c r="Y58" s="416">
        <f t="shared" si="22"/>
        <v>10163.25</v>
      </c>
      <c r="Z58" s="196">
        <f t="shared" si="11"/>
        <v>4.971019809244314</v>
      </c>
      <c r="AA58" s="196">
        <f t="shared" si="12"/>
        <v>63.97101980924431</v>
      </c>
      <c r="AB58" s="197">
        <f>((Y58/'Assessed Value'!E41)*'Assessed Value'!G41)/12</f>
        <v>2.2520909831751355</v>
      </c>
      <c r="AC58" s="84"/>
      <c r="AD58" s="198">
        <f>'Debt Service'!K317</f>
        <v>78933.33333333333</v>
      </c>
      <c r="AE58" s="198">
        <f t="shared" si="13"/>
        <v>38.60764653134425</v>
      </c>
      <c r="AF58" s="198">
        <f t="shared" si="14"/>
        <v>97.60764653134424</v>
      </c>
      <c r="AG58" s="198">
        <f>((AD58/'Assessed Value'!E41)*'Assessed Value'!G41)/12</f>
        <v>17.490964826404678</v>
      </c>
      <c r="AH58" s="199">
        <f>(AD58/'Assessed Value'!E41)*1000</f>
        <v>1.1801500907708855</v>
      </c>
      <c r="AI58" s="24"/>
      <c r="AJ58" s="200">
        <f>(((AD58+Y58)/'Assessed Value'!E41)*'Assessed Value'!G41)/12</f>
        <v>19.74305580957981</v>
      </c>
      <c r="AK58" s="200">
        <f t="shared" si="15"/>
        <v>102.57866634058857</v>
      </c>
      <c r="AL58" s="200">
        <f t="shared" si="31"/>
        <v>59</v>
      </c>
      <c r="AP58"/>
      <c r="AQ58"/>
      <c r="AS58" s="78">
        <f t="shared" si="17"/>
        <v>203.61540646077393</v>
      </c>
      <c r="AT58" s="79">
        <f t="shared" si="18"/>
        <v>0.5975507159523813</v>
      </c>
      <c r="AU58" s="85">
        <f>(M58/$M$63)*$AU$63</f>
        <v>16417.173114171008</v>
      </c>
      <c r="AV58"/>
      <c r="AW58"/>
      <c r="AX58"/>
      <c r="AY58"/>
      <c r="AZ58"/>
      <c r="BA58"/>
      <c r="BB58"/>
      <c r="BC58"/>
      <c r="BD58"/>
      <c r="BE58"/>
      <c r="BF58"/>
      <c r="BG58"/>
      <c r="BI58"/>
      <c r="BJ58"/>
      <c r="BK58"/>
      <c r="BL58"/>
    </row>
    <row r="59" spans="1:47" s="359" customFormat="1" ht="15">
      <c r="A59" s="356"/>
      <c r="B59" s="356"/>
      <c r="C59" s="392" t="s">
        <v>185</v>
      </c>
      <c r="D59" s="329">
        <f>SUM(D40:D58)</f>
        <v>48310000</v>
      </c>
      <c r="E59" s="329">
        <f aca="true" t="shared" si="35" ref="E59:U59">SUM(E40:E58)</f>
        <v>9390000</v>
      </c>
      <c r="F59" s="329">
        <f t="shared" si="35"/>
        <v>7780000</v>
      </c>
      <c r="G59" s="329">
        <f t="shared" si="35"/>
        <v>32100000</v>
      </c>
      <c r="H59" s="329">
        <f t="shared" si="35"/>
        <v>11538000</v>
      </c>
      <c r="I59" s="329">
        <f t="shared" si="35"/>
        <v>4647540</v>
      </c>
      <c r="J59" s="329">
        <f t="shared" si="35"/>
        <v>25640</v>
      </c>
      <c r="K59" s="329">
        <f t="shared" si="35"/>
        <v>11328</v>
      </c>
      <c r="L59" s="329">
        <f t="shared" si="35"/>
        <v>3348</v>
      </c>
      <c r="M59" s="329">
        <f t="shared" si="35"/>
        <v>9933</v>
      </c>
      <c r="N59" s="329">
        <f t="shared" si="35"/>
        <v>389055.4318181819</v>
      </c>
      <c r="O59" s="329">
        <f t="shared" si="35"/>
        <v>435880</v>
      </c>
      <c r="P59" s="329">
        <f>SUM(P40:P58)</f>
        <v>441792</v>
      </c>
      <c r="Q59" s="329">
        <f t="shared" si="35"/>
        <v>547200</v>
      </c>
      <c r="R59" s="329">
        <f t="shared" si="35"/>
        <v>1995320.1749999998</v>
      </c>
      <c r="S59" s="329">
        <f t="shared" si="35"/>
        <v>828.397117780294</v>
      </c>
      <c r="T59" s="329">
        <f t="shared" si="35"/>
        <v>1121</v>
      </c>
      <c r="U59" s="329">
        <f t="shared" si="35"/>
        <v>5630.771461225873</v>
      </c>
      <c r="W59" s="325">
        <f>SUM(W40:W58)</f>
        <v>340720.12499999977</v>
      </c>
      <c r="X59" s="311"/>
      <c r="Y59" s="329">
        <f>SUM(Y40:Y58)</f>
        <v>260928.00000000006</v>
      </c>
      <c r="Z59" s="311">
        <f t="shared" si="11"/>
        <v>4.378133494412565</v>
      </c>
      <c r="AA59" s="311">
        <f t="shared" si="12"/>
        <v>1125.3781334944126</v>
      </c>
      <c r="AB59" s="327">
        <f>((Y59/'Assessed Value'!E42)*'Assessed Value'!G42)/12</f>
        <v>2.1251565985904377</v>
      </c>
      <c r="AC59" s="327"/>
      <c r="AD59" s="329">
        <f>SUM(AD40:AD58)</f>
        <v>2194275</v>
      </c>
      <c r="AE59" s="311">
        <f t="shared" si="13"/>
        <v>36.81793013188362</v>
      </c>
      <c r="AF59" s="311">
        <f t="shared" si="14"/>
        <v>1157.8179301318837</v>
      </c>
      <c r="AG59" s="311">
        <f>((AD59/'Assessed Value'!E42)*'Assessed Value'!G42)/12</f>
        <v>17.871512430141767</v>
      </c>
      <c r="AH59" s="328">
        <f>(AD59/'Assessed Value'!E42)*1000</f>
        <v>0.643243547801626</v>
      </c>
      <c r="AI59" s="311"/>
      <c r="AJ59" s="311">
        <f>(((AD59+Y59)/'Assessed Value'!E42)*'Assessed Value'!G42)/12</f>
        <v>19.996669028732203</v>
      </c>
      <c r="AK59" s="311">
        <f t="shared" si="15"/>
        <v>1162.1960636262963</v>
      </c>
      <c r="AL59" s="311">
        <f>T59</f>
        <v>1121</v>
      </c>
      <c r="AS59" s="360">
        <f t="shared" si="17"/>
        <v>152.08696720936615</v>
      </c>
      <c r="AT59" s="331">
        <f t="shared" si="18"/>
        <v>0.015311282312429895</v>
      </c>
      <c r="AU59" s="311">
        <f>IF(M59*$AB$10&lt;=$AR$4,M59*$AB$10*($AE$11*$AF$11+AE$12*$AF$12+$AE$10*$AF$10-(1-$AE$10)*$AS$4-$AE$10*$AT$4-$AU$4)*12-R59,IF(M59*$AB$10&lt;=$AR$5,M59*$AB$10*($AE$11*$AF$11+AE$12*$AF$12+$AE$10*$AF$10-(1-$AE$10)*$AS$5-$AE$10*$AT$5-$AU$5)*12-R59,IF(M59*$AB$10&lt;=$AR$6,M59*$AB$10*($AE$11*$AF$11+AE$12*$AF$12+$AE$10*$AF$10-(1-$AE$10)*$AS$6-$AE$10*$AT$6-$AU$6)*12-R59,IF(M59*$AB$10&lt;=$AR$7,M59*$AB$10*($AE$11*$AF$11+AE$12*$AF$12+$AE$10*$AF$10-(1-$AE$10)*$AS$7-$AE$10*$AT$7-$AU$7)*12-R59))))</f>
        <v>-129902.7749999999</v>
      </c>
    </row>
    <row r="60" spans="1:47" s="359" customFormat="1" ht="15">
      <c r="A60" s="356"/>
      <c r="B60" s="356"/>
      <c r="C60" s="334" t="s">
        <v>177</v>
      </c>
      <c r="D60" s="329"/>
      <c r="E60" s="329"/>
      <c r="F60" s="329"/>
      <c r="G60" s="329"/>
      <c r="H60" s="329"/>
      <c r="I60" s="357"/>
      <c r="J60" s="357"/>
      <c r="K60" s="357"/>
      <c r="L60" s="357"/>
      <c r="M60" s="358"/>
      <c r="N60" s="329"/>
      <c r="O60" s="329"/>
      <c r="P60" s="329">
        <f>SUM(P40:P58)*0.7</f>
        <v>309254.39999999997</v>
      </c>
      <c r="Q60" s="329">
        <v>156000</v>
      </c>
      <c r="R60" s="326">
        <f>(N59+O59+P60+Q60)*1.1</f>
        <v>1419208.8150000002</v>
      </c>
      <c r="S60" s="326"/>
      <c r="T60" s="311"/>
      <c r="U60" s="330"/>
      <c r="V60" s="331">
        <f>U59/M59</f>
        <v>0.5668752100297869</v>
      </c>
      <c r="W60" s="325">
        <f>IF(M59*$AB$10&lt;=$U$4,M59*$AB$10*($AE$11*$AF$11+AE$12*$AF$12+$AE$10*$AF$10-(1-$AE$10)*$V$4-$AE$10*$W$4)*12-R60,IF(M59*$AB$10&lt;=$U$5,M59*$AB$10*($AE$11*$AF$11+AE$12*$AF$12+$AE$10*$AF$10-(1-$AE$10)*$V$5-$AE$10*$W$5)*12-R60,IF(M59*$AB$10&lt;=$U$6,M59*$AB$10*($AE$11*$AF$11+AE$12*$AF$12+$AE$10*$AF$10-(1-$AE$10)*$V$6-$AE$10*$W$6)*12-R60,IF(M59*$AB$10&lt;=$U$7,M59*$AB$10*($AE$11*$AF$11+AE$12*$AF$12+$AE$10*$AF$10-(1-$AE$10)*$V$7-$AE$10*$W$7)*12-R60))))</f>
        <v>340720.12499999977</v>
      </c>
      <c r="X60" s="311"/>
      <c r="Y60" s="391"/>
      <c r="Z60" s="311"/>
      <c r="AA60" s="311"/>
      <c r="AB60" s="327"/>
      <c r="AC60" s="327"/>
      <c r="AD60" s="311"/>
      <c r="AE60" s="311"/>
      <c r="AF60" s="311"/>
      <c r="AG60" s="311"/>
      <c r="AH60" s="328"/>
      <c r="AI60" s="311"/>
      <c r="AJ60" s="311"/>
      <c r="AK60" s="311"/>
      <c r="AL60" s="311"/>
      <c r="AS60" s="360"/>
      <c r="AT60" s="331"/>
      <c r="AU60" s="311"/>
    </row>
    <row r="61" spans="1:47" s="359" customFormat="1" ht="21.75" customHeight="1">
      <c r="A61" s="356"/>
      <c r="B61" s="356"/>
      <c r="C61" s="334"/>
      <c r="D61" s="329"/>
      <c r="E61" s="329"/>
      <c r="F61" s="329"/>
      <c r="G61" s="329"/>
      <c r="H61" s="329"/>
      <c r="I61" s="357"/>
      <c r="J61" s="357"/>
      <c r="K61" s="357"/>
      <c r="L61" s="357"/>
      <c r="M61" s="358"/>
      <c r="N61" s="329"/>
      <c r="O61" s="329"/>
      <c r="P61" s="329"/>
      <c r="Q61" s="329"/>
      <c r="R61" s="326"/>
      <c r="S61" s="326"/>
      <c r="T61" s="311"/>
      <c r="U61" s="330"/>
      <c r="V61" s="331"/>
      <c r="W61" s="325"/>
      <c r="X61" s="311"/>
      <c r="Y61" s="391"/>
      <c r="Z61" s="311"/>
      <c r="AA61" s="311"/>
      <c r="AB61" s="327"/>
      <c r="AC61" s="327"/>
      <c r="AD61" s="311"/>
      <c r="AE61" s="311"/>
      <c r="AF61" s="311"/>
      <c r="AG61" s="311"/>
      <c r="AH61" s="328"/>
      <c r="AI61" s="311"/>
      <c r="AJ61" s="311"/>
      <c r="AK61" s="311"/>
      <c r="AL61" s="311"/>
      <c r="AS61" s="360"/>
      <c r="AT61" s="331"/>
      <c r="AU61" s="311"/>
    </row>
    <row r="62" spans="1:47" s="2" customFormat="1" ht="14.25" customHeight="1">
      <c r="A62" s="13"/>
      <c r="B62" s="13"/>
      <c r="C62" s="13" t="s">
        <v>40</v>
      </c>
      <c r="D62" s="15">
        <f aca="true" t="shared" si="36" ref="D62:L62">D32+D37</f>
        <v>42340000</v>
      </c>
      <c r="E62" s="15">
        <f t="shared" si="36"/>
        <v>8710000</v>
      </c>
      <c r="F62" s="15">
        <f t="shared" si="36"/>
        <v>6960000</v>
      </c>
      <c r="G62" s="15">
        <f t="shared" si="36"/>
        <v>26670000</v>
      </c>
      <c r="H62" s="15">
        <f t="shared" si="36"/>
        <v>10950300</v>
      </c>
      <c r="I62" s="19">
        <f t="shared" si="36"/>
        <v>4483832</v>
      </c>
      <c r="J62" s="16">
        <f t="shared" si="36"/>
        <v>24334</v>
      </c>
      <c r="K62" s="16">
        <f t="shared" si="36"/>
        <v>10077</v>
      </c>
      <c r="L62" s="16">
        <f t="shared" si="36"/>
        <v>1944</v>
      </c>
      <c r="M62" s="14">
        <f>(K62-L62)+(L62*7/12)</f>
        <v>9267</v>
      </c>
      <c r="N62" s="15">
        <f>N32+N37</f>
        <v>375351.0878787879</v>
      </c>
      <c r="O62" s="15">
        <f>O32+O37</f>
        <v>413678</v>
      </c>
      <c r="P62" s="15">
        <f>P33+P38</f>
        <v>275102.1</v>
      </c>
      <c r="Q62" s="15">
        <f>Q33+Q38</f>
        <v>213600</v>
      </c>
      <c r="R62" s="25">
        <f>(N62+O62+P62+Q62)*1.1</f>
        <v>1405504.3066666669</v>
      </c>
      <c r="S62" s="25">
        <f t="shared" si="8"/>
        <v>25.27794515784804</v>
      </c>
      <c r="T62" s="6">
        <f>$AE$10*$AF$10+$AE$11*$AF$11+$AE$12*$AF$12</f>
        <v>59</v>
      </c>
      <c r="U62" s="74">
        <f t="shared" si="9"/>
        <v>3966.3176054483206</v>
      </c>
      <c r="V62" s="75">
        <f>U62/M62</f>
        <v>0.4280044896350837</v>
      </c>
      <c r="W62" s="82">
        <f>IF(M62*$AB$10&lt;=$U$4,M62*$AB$10*($AE$11*$AF$11+AE$12*$AF$12+$AE$10*$AF$10-(1-$AE$10)*$V$4-$AE$10*$W$4)*12-R62,IF(M62*$AB$10&lt;=$U$5,M62*$AB$10*($AE$11*$AF$11+AE$12*$AF$12+$AE$10*$AF$10-(1-$AE$10)*$V$5-$AE$10*$W$5)*12-R62,IF(M62*$AB$10&lt;=$U$6,M62*$AB$10*($AE$11*$AF$11+AE$12*$AF$12+$AE$10*$AF$10-(1-$AE$10)*$V$6-$AE$10*$W$6)*12-R62,IF(M62*$AB$10&lt;=$U$7,M62*$AB$10*($AE$11*$AF$11+AE$12*$AF$12+$AE$10*$AF$10-(1-$AE$10)*$V$7-$AE$10*$W$7)*12-R62))))</f>
        <v>236422.75333333318</v>
      </c>
      <c r="X62" s="93"/>
      <c r="Y62" s="101">
        <f t="shared" si="22"/>
        <v>219867.3</v>
      </c>
      <c r="Z62" s="104">
        <f t="shared" si="11"/>
        <v>3.954305600517967</v>
      </c>
      <c r="AA62" s="104">
        <f t="shared" si="12"/>
        <v>62.95430560051797</v>
      </c>
      <c r="AB62" s="118">
        <f>(Y62/('Assessed Value'!E17+'Assessed Value'!E25))*('Assessed Value'!F17+'Assessed Value'!F25)/('Assessed Value'!D17+'Assessed Value'!D25)/12</f>
        <v>1.2572782132496838</v>
      </c>
      <c r="AC62" s="119"/>
      <c r="AD62" s="109">
        <f>AD32+AD37</f>
        <v>1896533.3333333335</v>
      </c>
      <c r="AE62" s="108">
        <f t="shared" si="13"/>
        <v>34.10908480510294</v>
      </c>
      <c r="AF62" s="108">
        <f t="shared" si="14"/>
        <v>93.10908480510294</v>
      </c>
      <c r="AG62" s="108">
        <f>(AD62/('Assessed Value'!E17+'Assessed Value'!E25))*('Assessed Value'!F17+'Assessed Value'!F25)/('Assessed Value'!D17+'Assessed Value'!D25)/12</f>
        <v>10.845041716989295</v>
      </c>
      <c r="AH62" s="158">
        <f>(AD62/'Assessed Value'!E43)*1000</f>
        <v>0.5207297187668652</v>
      </c>
      <c r="AI62" s="6"/>
      <c r="AJ62" s="114">
        <f>((AD62+Y62)/('Assessed Value'!E17+'Assessed Value'!E25))*('Assessed Value'!F17+'Assessed Value'!F25)/('Assessed Value'!D17+'Assessed Value'!D25)/12</f>
        <v>12.102319930238977</v>
      </c>
      <c r="AK62" s="114">
        <f t="shared" si="15"/>
        <v>97.06339040562091</v>
      </c>
      <c r="AL62" s="114">
        <f>T62</f>
        <v>59</v>
      </c>
      <c r="AS62" s="115">
        <f t="shared" si="17"/>
        <v>3742.024245651403</v>
      </c>
      <c r="AT62" s="116">
        <f t="shared" si="18"/>
        <v>0.4038010408601924</v>
      </c>
      <c r="AU62" s="117">
        <f>IF(M62*$AB$10&lt;=$AR$4,M62*$AB$10*($AE$11*$AF$11+AE$12*$AF$12+$AE$10*$AF$10-(1-$AE$10)*$AS$4-$AE$10*$AT$4-$AU$4)*12-R62,IF(M62*$AB$10&lt;=$AR$5,M62*$AB$10*($AE$11*$AF$11+AE$12*$AF$12+$AE$10*$AF$10-(1-$AE$10)*$AS$5-$AE$10*$AT$5-$AU$5)*12-R62,IF(M62*$AB$10&lt;=$AR$6,M62*$AB$10*($AE$11*$AF$11+AE$12*$AF$12+$AE$10*$AF$10-(1-$AE$10)*$AS$6-$AE$10*$AT$6-$AU$6)*12-R62,IF(M62*$AB$10&lt;=$AR$7,M62*$AB$10*($AE$11*$AF$11+AE$12*$AF$12+$AE$10*$AF$10-(1-$AE$10)*$AS$7-$AE$10*$AT$7-$AU$7)*12-R62))))</f>
        <v>334838.293333333</v>
      </c>
    </row>
    <row r="63" spans="1:47" s="2" customFormat="1" ht="14.25" customHeight="1">
      <c r="A63" s="13"/>
      <c r="B63" s="13"/>
      <c r="C63" s="13" t="s">
        <v>41</v>
      </c>
      <c r="D63" s="15">
        <f aca="true" t="shared" si="37" ref="D63:L63">D32+D37+D59</f>
        <v>90650000</v>
      </c>
      <c r="E63" s="15">
        <f t="shared" si="37"/>
        <v>18100000</v>
      </c>
      <c r="F63" s="15">
        <f t="shared" si="37"/>
        <v>14740000</v>
      </c>
      <c r="G63" s="15">
        <f t="shared" si="37"/>
        <v>58770000</v>
      </c>
      <c r="H63" s="15">
        <f t="shared" si="37"/>
        <v>22488300</v>
      </c>
      <c r="I63" s="19">
        <f t="shared" si="37"/>
        <v>9131372</v>
      </c>
      <c r="J63" s="16">
        <f t="shared" si="37"/>
        <v>49974</v>
      </c>
      <c r="K63" s="16">
        <f t="shared" si="37"/>
        <v>21405</v>
      </c>
      <c r="L63" s="16">
        <f t="shared" si="37"/>
        <v>5292</v>
      </c>
      <c r="M63" s="14">
        <f>(K63-L63)+(L63*7/12)</f>
        <v>19200</v>
      </c>
      <c r="N63" s="15">
        <f>N32+N37+N59</f>
        <v>764406.5196969698</v>
      </c>
      <c r="O63" s="15">
        <f>O32+O37+O59</f>
        <v>849558</v>
      </c>
      <c r="P63" s="15">
        <f>P33+P38+P60</f>
        <v>584356.5</v>
      </c>
      <c r="Q63" s="15">
        <f>Q33+Q38+Q60</f>
        <v>369600</v>
      </c>
      <c r="R63" s="25">
        <f>(N63+O63+P63+Q63)*1.1</f>
        <v>2824713.1216666666</v>
      </c>
      <c r="S63" s="25">
        <f t="shared" si="8"/>
        <v>24.520079181134257</v>
      </c>
      <c r="T63" s="6">
        <f>$AE$10*$AF$10+$AE$11*$AF$11+$AE$12*$AF$12</f>
        <v>59</v>
      </c>
      <c r="U63" s="74">
        <f t="shared" si="9"/>
        <v>7971.30918181134</v>
      </c>
      <c r="V63" s="75">
        <f>U63/M63</f>
        <v>0.4151723532193406</v>
      </c>
      <c r="W63" s="82">
        <f>IF(M63*$AB$10&lt;=$U$4,M63*$AB$10*($AE$11*$AF$11+AE$12*$AF$12+$AE$10*$AF$10-(1-$AE$10)*$V$4-$AE$10*$W$4)*12-R63,IF(M63*$AB$10&lt;=$U$5,M63*$AB$10*($AE$11*$AF$11+AE$12*$AF$12+$AE$10*$AF$10-(1-$AE$10)*$V$5-$AE$10*$W$5)*12-R63,IF(M63*$AB$10&lt;=$U$6,M63*$AB$10*($AE$11*$AF$11+AE$12*$AF$12+$AE$10*$AF$10-(1-$AE$10)*$V$6-$AE$10*$W$6)*12-R63,IF(M63*$AB$10&lt;=$U$7,M63*$AB$10*($AE$11*$AF$11+AE$12*$AF$12+$AE$10*$AF$10-(1-$AE$10)*$V$7-$AE$10*$W$7)*12-R63))))</f>
        <v>875510.8783333343</v>
      </c>
      <c r="X63" s="93"/>
      <c r="Y63" s="101">
        <f t="shared" si="22"/>
        <v>480795.3</v>
      </c>
      <c r="Z63" s="104">
        <f t="shared" si="11"/>
        <v>4.1735703125</v>
      </c>
      <c r="AA63" s="104">
        <f t="shared" si="12"/>
        <v>63.1735703125</v>
      </c>
      <c r="AB63" s="118">
        <f>(Y63/('Assessed Value'!E17+'Assessed Value'!E25+'Assessed Value'!E42))*('Assessed Value'!F17+'Assessed Value'!F25+'Assessed Value'!F42)/('Assessed Value'!D17+'Assessed Value'!D25+'Assessed Value'!D42)/12</f>
        <v>1.6238853999418363</v>
      </c>
      <c r="AC63" s="119"/>
      <c r="AD63" s="109">
        <f>AD32+AD37+AD59</f>
        <v>4090808.3333333335</v>
      </c>
      <c r="AE63" s="108">
        <f t="shared" si="13"/>
        <v>35.51048900462963</v>
      </c>
      <c r="AF63" s="108">
        <f t="shared" si="14"/>
        <v>94.51048900462963</v>
      </c>
      <c r="AG63" s="108">
        <f>(AD63/('Assessed Value'!E17+'Assessed Value'!E25+'Assessed Value'!E42))*('Assessed Value'!F17+'Assessed Value'!F25+'Assessed Value'!F42)/('Assessed Value'!D17+'Assessed Value'!D25+'Assessed Value'!D42)/12</f>
        <v>13.816698970352656</v>
      </c>
      <c r="AH63" s="158">
        <f>(AD63/'Assessed Value'!E44)*1000</f>
        <v>0.5799821576927334</v>
      </c>
      <c r="AI63" s="6"/>
      <c r="AJ63" s="114">
        <f>((AD63+Y63)/('Assessed Value'!E17+'Assessed Value'!E25+'Assessed Value'!E42))*('Assessed Value'!F17+'Assessed Value'!F25+'Assessed Value'!F42)/('Assessed Value'!D17+'Assessed Value'!D25+'Assessed Value'!D42)/12</f>
        <v>15.440584370294495</v>
      </c>
      <c r="AK63" s="114">
        <f t="shared" si="15"/>
        <v>98.68405931712962</v>
      </c>
      <c r="AL63" s="114">
        <f>T63</f>
        <v>59</v>
      </c>
      <c r="AS63" s="115">
        <f t="shared" si="17"/>
        <v>7520.5354676961315</v>
      </c>
      <c r="AT63" s="116">
        <f t="shared" si="18"/>
        <v>0.3916945556091735</v>
      </c>
      <c r="AU63" s="117">
        <f>IF(M63*$AB$10&lt;=$AR$4,M63*$AB$10*($AE$11*$AF$11+AE$12*$AF$12+$AE$10*$AF$10-(1-$AE$10)*$AS$4-$AE$10*$AT$4-$AU$4)*12-R63,IF(M63*$AB$10&lt;=$AR$5,M63*$AB$10*($AE$11*$AF$11+AE$12*$AF$12+$AE$10*$AF$10-(1-$AE$10)*$AS$5-$AE$10*$AT$5-$AU$5)*12-R63,IF(M63*$AB$10&lt;=$AR$6,M63*$AB$10*($AE$11*$AF$11+AE$12*$AF$12+$AE$10*$AF$10-(1-$AE$10)*$AS$6-$AE$10*$AT$6-$AU$6)*12-R63,IF(M63*$AB$10&lt;=$AR$7,M63*$AB$10*($AE$11*$AF$11+AE$12*$AF$12+$AE$10*$AF$10-(1-$AE$10)*$AS$7-$AE$10*$AT$7-$AU$7)*12-R63))))</f>
        <v>925046.8783333334</v>
      </c>
    </row>
    <row r="64" spans="3:64" ht="14.25" customHeight="1">
      <c r="C64" s="2"/>
      <c r="D64" s="3"/>
      <c r="E64" s="3"/>
      <c r="F64" s="3"/>
      <c r="G64" s="3"/>
      <c r="H64" s="3"/>
      <c r="I64" s="20"/>
      <c r="J64" s="4"/>
      <c r="K64" s="4"/>
      <c r="L64" s="4"/>
      <c r="M64" s="4"/>
      <c r="U64"/>
      <c r="V64"/>
      <c r="W64"/>
      <c r="Z64" s="41"/>
      <c r="AA64" s="24"/>
      <c r="AB64" s="84"/>
      <c r="AC64" s="84"/>
      <c r="AD64" s="41"/>
      <c r="AE64" s="24"/>
      <c r="AF64" s="24"/>
      <c r="AG64" s="24"/>
      <c r="AH64" s="152"/>
      <c r="AI64" s="24"/>
      <c r="AJ64" s="24"/>
      <c r="AK64" s="41"/>
      <c r="AL64" s="41"/>
      <c r="AP64"/>
      <c r="AQ64"/>
      <c r="AR64"/>
      <c r="AS64"/>
      <c r="AV64"/>
      <c r="AW64"/>
      <c r="AX64"/>
      <c r="AY64"/>
      <c r="AZ64"/>
      <c r="BA64"/>
      <c r="BB64"/>
      <c r="BC64"/>
      <c r="BD64"/>
      <c r="BE64"/>
      <c r="BF64"/>
      <c r="BG64"/>
      <c r="BI64"/>
      <c r="BJ64"/>
      <c r="BK64"/>
      <c r="BL64"/>
    </row>
    <row r="65" spans="3:64" ht="14.25" customHeight="1">
      <c r="C65" s="2"/>
      <c r="D65" s="3"/>
      <c r="E65" s="3"/>
      <c r="F65" s="3"/>
      <c r="G65" s="3"/>
      <c r="H65" s="3"/>
      <c r="I65" s="20"/>
      <c r="J65" s="4"/>
      <c r="K65" s="4"/>
      <c r="L65" s="4"/>
      <c r="M65" s="4"/>
      <c r="U65" s="1"/>
      <c r="V65" s="27"/>
      <c r="W65" s="27"/>
      <c r="Z65" s="1"/>
      <c r="AA65"/>
      <c r="AD65" s="1"/>
      <c r="AG65"/>
      <c r="AI65"/>
      <c r="AJ65"/>
      <c r="AK65"/>
      <c r="AM65" s="41"/>
      <c r="AN65" s="24"/>
      <c r="AO65" s="24"/>
      <c r="AP65" s="24"/>
      <c r="AQ65" s="41"/>
      <c r="AR65" s="27"/>
      <c r="AS65" s="26"/>
      <c r="AV65" s="41"/>
      <c r="AW65" s="41"/>
      <c r="AX65" s="26"/>
      <c r="AY65" s="26"/>
      <c r="AZ65" s="26"/>
      <c r="BJ65"/>
      <c r="BK65"/>
      <c r="BL65"/>
    </row>
    <row r="66" spans="60:65" ht="13.5" customHeight="1">
      <c r="BH66" s="26"/>
      <c r="BI66"/>
      <c r="BJ66" s="1"/>
      <c r="BM66" s="26"/>
    </row>
    <row r="67" spans="3:9" ht="13.5" customHeight="1">
      <c r="C67" s="395"/>
      <c r="D67" s="395"/>
      <c r="E67" s="395"/>
      <c r="F67" s="395"/>
      <c r="G67" s="395"/>
      <c r="H67" s="395"/>
      <c r="I67" s="395"/>
    </row>
    <row r="68" spans="3:9" ht="13.5" customHeight="1">
      <c r="C68" s="395"/>
      <c r="D68" s="395"/>
      <c r="E68" s="395"/>
      <c r="F68" s="395"/>
      <c r="G68" s="395"/>
      <c r="H68" s="395"/>
      <c r="I68" s="395"/>
    </row>
    <row r="69" spans="3:9" ht="13.5" customHeight="1">
      <c r="C69" s="395"/>
      <c r="D69" s="395"/>
      <c r="E69" s="395"/>
      <c r="F69" s="395"/>
      <c r="G69" s="395"/>
      <c r="H69" s="395"/>
      <c r="I69" s="395"/>
    </row>
    <row r="70" ht="13.5" customHeight="1"/>
  </sheetData>
  <sheetProtection selectLockedCells="1" selectUnlockedCells="1"/>
  <mergeCells count="4">
    <mergeCell ref="C67:I67"/>
    <mergeCell ref="C68:I68"/>
    <mergeCell ref="C69:I69"/>
    <mergeCell ref="AD8:AF8"/>
  </mergeCells>
  <printOptions horizontalCentered="1"/>
  <pageMargins left="0.25" right="0.25" top="0.25" bottom="0.25" header="0.3" footer="0.3"/>
  <pageSetup fitToHeight="1" fitToWidth="1" horizontalDpi="600" verticalDpi="600" orientation="landscape" scale="7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11"/>
  <sheetViews>
    <sheetView zoomScale="120" zoomScaleNormal="12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16" sqref="W16"/>
    </sheetView>
  </sheetViews>
  <sheetFormatPr defaultColWidth="11.421875" defaultRowHeight="14.25" customHeight="1"/>
  <cols>
    <col min="1" max="1" width="2.421875" style="41" customWidth="1"/>
    <col min="2" max="2" width="2.421875" style="41" hidden="1" customWidth="1"/>
    <col min="3" max="3" width="15.8515625" style="41" customWidth="1"/>
    <col min="4" max="4" width="11.8515625" style="41" customWidth="1"/>
    <col min="5" max="5" width="11.421875" style="41" customWidth="1"/>
    <col min="6" max="6" width="10.00390625" style="41" customWidth="1"/>
    <col min="7" max="7" width="10.421875" style="41" customWidth="1"/>
    <col min="8" max="8" width="12.8515625" style="41" bestFit="1" customWidth="1"/>
    <col min="9" max="9" width="10.140625" style="5" bestFit="1" customWidth="1"/>
    <col min="10" max="11" width="7.421875" style="41" bestFit="1" customWidth="1"/>
    <col min="12" max="13" width="9.421875" style="41" customWidth="1"/>
    <col min="14" max="15" width="10.140625" style="24" bestFit="1" customWidth="1"/>
    <col min="16" max="16" width="10.00390625" style="24" customWidth="1"/>
    <col min="17" max="17" width="8.421875" style="24" customWidth="1"/>
    <col min="18" max="18" width="9.28125" style="24" customWidth="1"/>
    <col min="19" max="19" width="7.421875" style="24" customWidth="1"/>
    <col min="20" max="20" width="7.7109375" style="24" customWidth="1"/>
    <col min="21" max="21" width="7.421875" style="24" customWidth="1"/>
    <col min="22" max="22" width="7.7109375" style="24" customWidth="1"/>
    <col min="23" max="23" width="10.8515625" style="24" customWidth="1"/>
    <col min="24" max="24" width="7.7109375" style="5" customWidth="1"/>
    <col min="25" max="25" width="7.421875" style="233" customWidth="1"/>
    <col min="26" max="26" width="10.28125" style="53" customWidth="1"/>
    <col min="27" max="27" width="10.421875" style="24" customWidth="1"/>
    <col min="28" max="28" width="1.7109375" style="65" customWidth="1"/>
    <col min="29" max="29" width="10.421875" style="24" customWidth="1"/>
    <col min="30" max="30" width="7.8515625" style="233" customWidth="1"/>
    <col min="31" max="31" width="9.140625" style="5" customWidth="1"/>
    <col min="32" max="32" width="10.00390625" style="84" customWidth="1"/>
    <col min="33" max="33" width="2.8515625" style="84" customWidth="1"/>
    <col min="34" max="34" width="11.8515625" style="233" bestFit="1" customWidth="1"/>
    <col min="35" max="35" width="7.28125" style="233" customWidth="1"/>
    <col min="36" max="36" width="8.421875" style="233" customWidth="1"/>
    <col min="37" max="37" width="8.7109375" style="24" customWidth="1"/>
    <col min="38" max="38" width="8.7109375" style="152" customWidth="1"/>
    <col min="39" max="39" width="2.28125" style="24" customWidth="1"/>
    <col min="40" max="40" width="10.28125" style="5" customWidth="1"/>
    <col min="41" max="41" width="10.7109375" style="233" customWidth="1"/>
    <col min="42" max="42" width="7.8515625" style="41" customWidth="1"/>
    <col min="43" max="43" width="7.140625" style="41" customWidth="1"/>
    <col min="44" max="45" width="10.28125" style="41" customWidth="1"/>
    <col min="46" max="46" width="13.421875" style="41" bestFit="1" customWidth="1"/>
    <col min="47" max="47" width="9.28125" style="24" bestFit="1" customWidth="1"/>
    <col min="48" max="49" width="7.7109375" style="24" customWidth="1"/>
    <col min="50" max="51" width="8.8515625" style="41" customWidth="1"/>
    <col min="52" max="52" width="8.421875" style="41" customWidth="1"/>
    <col min="53" max="56" width="11.421875" style="24" customWidth="1"/>
    <col min="57" max="57" width="12.421875" style="24" bestFit="1" customWidth="1"/>
    <col min="58" max="58" width="12.421875" style="24" customWidth="1"/>
    <col min="59" max="59" width="11.421875" style="24" customWidth="1"/>
    <col min="60" max="60" width="11.421875" style="41" customWidth="1"/>
    <col min="61" max="61" width="11.421875" style="5" customWidth="1"/>
    <col min="62" max="64" width="11.421875" style="24" customWidth="1"/>
    <col min="65" max="16384" width="11.421875" style="41" customWidth="1"/>
  </cols>
  <sheetData>
    <row r="1" spans="9:68" ht="14.25" customHeight="1">
      <c r="I1" s="41"/>
      <c r="L1" s="5"/>
      <c r="N1" s="41"/>
      <c r="O1" s="41"/>
      <c r="R1" s="399" t="s">
        <v>156</v>
      </c>
      <c r="S1" s="399"/>
      <c r="T1" s="399"/>
      <c r="AB1" s="230"/>
      <c r="AC1" s="231"/>
      <c r="AD1" s="232"/>
      <c r="AE1" s="233"/>
      <c r="AH1" s="232"/>
      <c r="AI1" s="53"/>
      <c r="AJ1" s="53"/>
      <c r="AN1" s="233"/>
      <c r="AP1" s="24"/>
      <c r="AQ1" s="5"/>
      <c r="AR1" s="5"/>
      <c r="AS1" s="233"/>
      <c r="AU1" s="41"/>
      <c r="AV1" s="41"/>
      <c r="AW1" s="41"/>
      <c r="AY1" s="24"/>
      <c r="AZ1" s="24"/>
      <c r="BB1" s="41"/>
      <c r="BC1" s="41"/>
      <c r="BD1" s="41"/>
      <c r="BH1" s="24"/>
      <c r="BI1" s="24"/>
      <c r="BL1" s="41"/>
      <c r="BM1" s="5"/>
      <c r="BN1" s="24"/>
      <c r="BO1" s="24"/>
      <c r="BP1" s="24"/>
    </row>
    <row r="2" spans="15:57" s="49" customFormat="1" ht="24">
      <c r="O2" s="234"/>
      <c r="P2" s="235"/>
      <c r="R2" s="167" t="s">
        <v>150</v>
      </c>
      <c r="S2" s="167" t="s">
        <v>151</v>
      </c>
      <c r="T2" s="167" t="s">
        <v>152</v>
      </c>
      <c r="V2" s="169" t="s">
        <v>97</v>
      </c>
      <c r="AB2" s="236"/>
      <c r="AD2" s="237"/>
      <c r="AF2" s="237"/>
      <c r="AG2" s="237"/>
      <c r="AH2" s="237"/>
      <c r="AL2" s="238"/>
      <c r="AN2" s="50"/>
      <c r="AO2" s="50"/>
      <c r="AP2" s="50"/>
      <c r="AT2" s="50"/>
      <c r="AU2" s="50"/>
      <c r="AV2" s="50"/>
      <c r="AW2" s="50"/>
      <c r="AX2" s="50"/>
      <c r="AY2" s="50"/>
      <c r="AZ2" s="50"/>
      <c r="BB2" s="239"/>
      <c r="BC2" s="50"/>
      <c r="BD2" s="50"/>
      <c r="BE2" s="50"/>
    </row>
    <row r="3" spans="18:64" ht="14.25" customHeight="1">
      <c r="R3" s="164" t="s">
        <v>153</v>
      </c>
      <c r="S3" s="44">
        <f>VLOOKUP(Summary!$D$34,'Input Data'!$J$2:$K$13,2,FALSE)</f>
        <v>0</v>
      </c>
      <c r="T3" s="45">
        <v>19</v>
      </c>
      <c r="V3" s="163">
        <f>VLOOKUP(Summary!$D$32,'Input Data'!$D$2:$E$13,2,FALSE)</f>
        <v>0.5</v>
      </c>
      <c r="AB3" s="67"/>
      <c r="AD3" s="24"/>
      <c r="AE3" s="41"/>
      <c r="AF3" s="24"/>
      <c r="AG3" s="24"/>
      <c r="AI3" s="41"/>
      <c r="AJ3" s="41"/>
      <c r="AK3" s="41"/>
      <c r="AM3" s="41"/>
      <c r="AN3" s="41"/>
      <c r="AO3" s="41"/>
      <c r="AU3" s="41"/>
      <c r="AV3" s="41"/>
      <c r="AW3" s="41"/>
      <c r="BA3" s="41"/>
      <c r="BB3" s="41"/>
      <c r="BC3" s="41"/>
      <c r="BD3" s="41"/>
      <c r="BE3" s="41"/>
      <c r="BF3" s="41"/>
      <c r="BG3" s="41"/>
      <c r="BI3" s="41"/>
      <c r="BJ3" s="41"/>
      <c r="BK3" s="41"/>
      <c r="BL3" s="41"/>
    </row>
    <row r="4" spans="9:64" ht="14.25" customHeight="1">
      <c r="I4" s="41"/>
      <c r="O4" s="65"/>
      <c r="R4" s="164" t="s">
        <v>154</v>
      </c>
      <c r="S4" s="44">
        <f>VLOOKUP(Summary!$D$33,'Input Data'!$F$2:$G$14,2,FALSE)</f>
        <v>1</v>
      </c>
      <c r="T4" s="45">
        <v>59</v>
      </c>
      <c r="AB4" s="67"/>
      <c r="AD4" s="53"/>
      <c r="AE4" s="64"/>
      <c r="AF4" s="67"/>
      <c r="AG4" s="67"/>
      <c r="AH4" s="65"/>
      <c r="AI4" s="53"/>
      <c r="AJ4" s="53"/>
      <c r="AN4" s="53"/>
      <c r="AO4" s="24"/>
      <c r="AP4" s="24"/>
      <c r="AQ4" s="24"/>
      <c r="AR4" s="233"/>
      <c r="AU4" s="41"/>
      <c r="AV4" s="41"/>
      <c r="AW4" s="41"/>
      <c r="BA4" s="41"/>
      <c r="BB4" s="41"/>
      <c r="BC4" s="41"/>
      <c r="BD4" s="41"/>
      <c r="BE4" s="41"/>
      <c r="BF4" s="41"/>
      <c r="BG4" s="41"/>
      <c r="BI4" s="41"/>
      <c r="BJ4" s="41"/>
      <c r="BK4" s="41"/>
      <c r="BL4" s="41"/>
    </row>
    <row r="5" spans="9:64" ht="14.25" customHeight="1">
      <c r="I5" s="41"/>
      <c r="O5" s="65"/>
      <c r="R5" s="164" t="s">
        <v>155</v>
      </c>
      <c r="S5" s="44">
        <f>+Summary!$F$3</f>
        <v>0</v>
      </c>
      <c r="T5" s="45">
        <v>75</v>
      </c>
      <c r="AB5" s="67"/>
      <c r="AD5" s="53"/>
      <c r="AE5" s="64"/>
      <c r="AF5" s="67"/>
      <c r="AG5" s="67"/>
      <c r="AH5" s="65"/>
      <c r="AI5" s="53"/>
      <c r="AJ5" s="53"/>
      <c r="AN5" s="53"/>
      <c r="AO5" s="24"/>
      <c r="AP5" s="24"/>
      <c r="AQ5" s="24"/>
      <c r="AR5" s="233"/>
      <c r="AU5" s="41"/>
      <c r="AV5" s="41"/>
      <c r="AW5" s="41"/>
      <c r="BA5" s="41"/>
      <c r="BB5" s="41"/>
      <c r="BC5" s="41"/>
      <c r="BD5" s="41"/>
      <c r="BE5" s="41"/>
      <c r="BF5" s="41"/>
      <c r="BG5" s="41"/>
      <c r="BI5" s="41"/>
      <c r="BJ5" s="41"/>
      <c r="BK5" s="41"/>
      <c r="BL5" s="41"/>
    </row>
    <row r="6" spans="9:64" ht="14.25" customHeight="1">
      <c r="I6" s="41"/>
      <c r="N6" s="64"/>
      <c r="O6" s="65"/>
      <c r="T6" s="65"/>
      <c r="AB6" s="67"/>
      <c r="AD6" s="53"/>
      <c r="AE6" s="64"/>
      <c r="AF6" s="67"/>
      <c r="AG6" s="67"/>
      <c r="AH6" s="65"/>
      <c r="AI6" s="53"/>
      <c r="AJ6" s="53"/>
      <c r="AN6" s="53"/>
      <c r="AO6" s="24"/>
      <c r="AP6" s="24"/>
      <c r="AQ6" s="24"/>
      <c r="AR6" s="233"/>
      <c r="AU6" s="41"/>
      <c r="AV6" s="41"/>
      <c r="AW6" s="41"/>
      <c r="BA6" s="41"/>
      <c r="BB6" s="41"/>
      <c r="BC6" s="41"/>
      <c r="BD6" s="41"/>
      <c r="BE6" s="41"/>
      <c r="BF6" s="41"/>
      <c r="BG6" s="41"/>
      <c r="BI6" s="41"/>
      <c r="BJ6" s="41"/>
      <c r="BK6" s="41"/>
      <c r="BL6" s="41"/>
    </row>
    <row r="7" spans="11:64" ht="14.25" customHeight="1">
      <c r="K7" s="65"/>
      <c r="L7" s="64"/>
      <c r="M7" s="64"/>
      <c r="N7" s="65"/>
      <c r="O7" s="65"/>
      <c r="P7" s="5"/>
      <c r="Q7" s="65"/>
      <c r="R7" s="65"/>
      <c r="S7" s="65"/>
      <c r="T7" s="66"/>
      <c r="U7" s="67"/>
      <c r="V7" s="67"/>
      <c r="W7" s="67"/>
      <c r="X7" s="24"/>
      <c r="Y7" s="53"/>
      <c r="AC7" s="65"/>
      <c r="AD7" s="64"/>
      <c r="AE7" s="233"/>
      <c r="AH7" s="53"/>
      <c r="AI7" s="24"/>
      <c r="AJ7" s="24"/>
      <c r="AN7" s="24"/>
      <c r="AO7" s="41"/>
      <c r="AU7" s="41"/>
      <c r="AV7" s="41"/>
      <c r="AW7" s="41"/>
      <c r="BA7" s="41"/>
      <c r="BB7" s="41"/>
      <c r="BC7" s="41"/>
      <c r="BD7" s="41"/>
      <c r="BE7" s="41"/>
      <c r="BF7" s="41"/>
      <c r="BG7" s="41"/>
      <c r="BI7" s="41"/>
      <c r="BJ7" s="41"/>
      <c r="BK7" s="41"/>
      <c r="BL7" s="41"/>
    </row>
    <row r="8" spans="9:42" s="223" customFormat="1" ht="14.25" customHeight="1">
      <c r="I8" s="28"/>
      <c r="K8" s="93"/>
      <c r="L8" s="92"/>
      <c r="M8" s="92"/>
      <c r="N8" s="93"/>
      <c r="O8" s="93"/>
      <c r="P8" s="28"/>
      <c r="Q8" s="93"/>
      <c r="R8" s="93"/>
      <c r="S8" s="93"/>
      <c r="T8" s="95"/>
      <c r="U8" s="305" t="s">
        <v>178</v>
      </c>
      <c r="V8" s="305"/>
      <c r="W8" s="305"/>
      <c r="X8" s="28"/>
      <c r="Y8" s="304" t="s">
        <v>179</v>
      </c>
      <c r="Z8" s="304"/>
      <c r="AA8" s="304"/>
      <c r="AB8" s="65"/>
      <c r="AC8" s="397" t="s">
        <v>112</v>
      </c>
      <c r="AD8" s="397"/>
      <c r="AE8" s="397"/>
      <c r="AF8" s="397"/>
      <c r="AG8" s="91"/>
      <c r="AH8" s="283" t="s">
        <v>86</v>
      </c>
      <c r="AI8" s="283"/>
      <c r="AJ8" s="283"/>
      <c r="AK8" s="283"/>
      <c r="AL8" s="284"/>
      <c r="AM8" s="97"/>
      <c r="AN8" s="110"/>
      <c r="AO8" s="240"/>
      <c r="AP8" s="240"/>
    </row>
    <row r="9" spans="3:42" s="214" customFormat="1" ht="95.25" customHeight="1">
      <c r="C9" s="214" t="s">
        <v>0</v>
      </c>
      <c r="D9" s="215" t="s">
        <v>35</v>
      </c>
      <c r="E9" s="215" t="s">
        <v>36</v>
      </c>
      <c r="F9" s="215" t="s">
        <v>37</v>
      </c>
      <c r="G9" s="215" t="s">
        <v>38</v>
      </c>
      <c r="H9" s="215" t="s">
        <v>42</v>
      </c>
      <c r="I9" s="216" t="s">
        <v>28</v>
      </c>
      <c r="J9" s="216" t="s">
        <v>29</v>
      </c>
      <c r="K9" s="216" t="s">
        <v>30</v>
      </c>
      <c r="L9" s="216" t="s">
        <v>31</v>
      </c>
      <c r="M9" s="216" t="s">
        <v>45</v>
      </c>
      <c r="N9" s="22" t="s">
        <v>43</v>
      </c>
      <c r="O9" s="22" t="s">
        <v>44</v>
      </c>
      <c r="P9" s="22" t="s">
        <v>96</v>
      </c>
      <c r="Q9" s="22" t="s">
        <v>98</v>
      </c>
      <c r="R9" s="22" t="s">
        <v>46</v>
      </c>
      <c r="S9" s="22" t="s">
        <v>105</v>
      </c>
      <c r="T9" s="22" t="s">
        <v>53</v>
      </c>
      <c r="U9" s="70" t="s">
        <v>106</v>
      </c>
      <c r="V9" s="71" t="s">
        <v>47</v>
      </c>
      <c r="W9" s="80" t="s">
        <v>159</v>
      </c>
      <c r="Y9" s="76" t="s">
        <v>106</v>
      </c>
      <c r="Z9" s="77" t="s">
        <v>47</v>
      </c>
      <c r="AA9" s="77" t="s">
        <v>159</v>
      </c>
      <c r="AB9" s="91"/>
      <c r="AC9" s="181" t="s">
        <v>136</v>
      </c>
      <c r="AD9" s="181" t="s">
        <v>109</v>
      </c>
      <c r="AE9" s="99" t="s">
        <v>114</v>
      </c>
      <c r="AF9" s="100" t="s">
        <v>111</v>
      </c>
      <c r="AG9" s="89"/>
      <c r="AH9" s="105" t="s">
        <v>92</v>
      </c>
      <c r="AI9" s="106" t="s">
        <v>110</v>
      </c>
      <c r="AJ9" s="105" t="s">
        <v>115</v>
      </c>
      <c r="AK9" s="106" t="s">
        <v>146</v>
      </c>
      <c r="AL9" s="156" t="s">
        <v>148</v>
      </c>
      <c r="AM9" s="22"/>
      <c r="AN9" s="112" t="s">
        <v>147</v>
      </c>
      <c r="AO9" s="113" t="s">
        <v>113</v>
      </c>
      <c r="AP9" s="113" t="s">
        <v>95</v>
      </c>
    </row>
    <row r="10" spans="1:64" ht="13.5" customHeight="1">
      <c r="A10" s="41" t="s">
        <v>32</v>
      </c>
      <c r="B10" s="41">
        <f>VLOOKUP(C10,'Input Data'!$C$2:$D$38,2,FALSE)</f>
        <v>2</v>
      </c>
      <c r="C10" s="41" t="s">
        <v>1</v>
      </c>
      <c r="D10" s="150">
        <v>3710000</v>
      </c>
      <c r="E10" s="150">
        <v>770000</v>
      </c>
      <c r="F10" s="150">
        <v>640000</v>
      </c>
      <c r="G10" s="150">
        <v>2300000</v>
      </c>
      <c r="H10" s="150">
        <f>J10*450</f>
        <v>784350</v>
      </c>
      <c r="I10" s="5">
        <v>379064</v>
      </c>
      <c r="J10" s="5">
        <v>1743</v>
      </c>
      <c r="K10" s="201">
        <v>877</v>
      </c>
      <c r="L10" s="201">
        <v>84</v>
      </c>
      <c r="M10" s="201">
        <f>(K10-L10)+(L10*7/12)</f>
        <v>842</v>
      </c>
      <c r="N10" s="217">
        <f>442*I10/5280</f>
        <v>31732.251515151514</v>
      </c>
      <c r="O10" s="217">
        <f>J10*17</f>
        <v>29631</v>
      </c>
      <c r="P10" s="217">
        <f>39*K10</f>
        <v>34203</v>
      </c>
      <c r="Q10" s="217">
        <v>28800</v>
      </c>
      <c r="R10" s="217">
        <f>(N10+O10+P10+Q10)*1.1</f>
        <v>136802.87666666668</v>
      </c>
      <c r="S10" s="217">
        <f>R10/12/($V$3*M10)</f>
        <v>27.078954209553974</v>
      </c>
      <c r="T10" s="24">
        <f aca="true" t="shared" si="0" ref="T10:T30">$S$3*$T$3+$S$4*$T$4+$S$5*$T$5</f>
        <v>59</v>
      </c>
      <c r="U10" s="72">
        <f aca="true" t="shared" si="1" ref="U10:U26">R10/((T10-(1-$S$3)*$P$108-$S$3*$Q$108)*12)</f>
        <v>386.0562046130113</v>
      </c>
      <c r="V10" s="73">
        <f>U10/M10</f>
        <v>0.4584990553598709</v>
      </c>
      <c r="W10" s="69">
        <f>(M10/$M$26)*$W$27</f>
        <v>25958.718660296647</v>
      </c>
      <c r="Y10" s="286">
        <f aca="true" t="shared" si="2" ref="Y10:Y26">R10/((T10-(1-$S$3)*$S$108-$S$3*$T$108-$U$108)*12)</f>
        <v>364.2249112531062</v>
      </c>
      <c r="Z10" s="79">
        <f>Y10/M10</f>
        <v>0.432571153507252</v>
      </c>
      <c r="AA10" s="85">
        <f>(M10/$M$56)*$AA$56</f>
        <v>30423.421062551675</v>
      </c>
      <c r="AC10" s="218">
        <f>0.03*(D10-F10-H10)</f>
        <v>68569.5</v>
      </c>
      <c r="AD10" s="55">
        <f>(AC10/(M10*$V$3))/12</f>
        <v>13.572743467933492</v>
      </c>
      <c r="AE10" s="55">
        <f>T10+AD10</f>
        <v>72.57274346793349</v>
      </c>
      <c r="AF10" s="102">
        <f>((AC10/'Assessed Value'!E18)*'Assessed Value'!G18)/12</f>
        <v>5.837082887580053</v>
      </c>
      <c r="AH10" s="107">
        <f>'Debt Service'!K13</f>
        <v>163555.55555555556</v>
      </c>
      <c r="AI10" s="107">
        <f>AH10/(12*$V$3*M10)</f>
        <v>32.374417172516935</v>
      </c>
      <c r="AJ10" s="107">
        <f>T10+AI10</f>
        <v>91.37441717251693</v>
      </c>
      <c r="AK10" s="107">
        <f>((AH10/'Assessed Value'!E18)*'Assessed Value'!G18)/12</f>
        <v>13.92291521014419</v>
      </c>
      <c r="AL10" s="157">
        <f>(AH10/'Assessed Value'!E18)*1000</f>
        <v>0.680398428932294</v>
      </c>
      <c r="AN10" s="58">
        <f>(((AH10+AC10)/'Assessed Value'!E18)*'Assessed Value'!G18)/12</f>
        <v>19.759998097724242</v>
      </c>
      <c r="AO10" s="58">
        <f>T10+AD10+AI10</f>
        <v>104.94716064045042</v>
      </c>
      <c r="AP10" s="58">
        <f>T10</f>
        <v>59</v>
      </c>
      <c r="AU10" s="41"/>
      <c r="AV10" s="41"/>
      <c r="AW10" s="41"/>
      <c r="BA10" s="41"/>
      <c r="BB10" s="41"/>
      <c r="BC10" s="41"/>
      <c r="BD10" s="41"/>
      <c r="BE10" s="41"/>
      <c r="BF10" s="41"/>
      <c r="BG10" s="41"/>
      <c r="BI10" s="41"/>
      <c r="BJ10" s="41"/>
      <c r="BK10" s="41"/>
      <c r="BL10" s="41"/>
    </row>
    <row r="11" spans="1:64" ht="13.5" customHeight="1">
      <c r="A11" s="41" t="s">
        <v>32</v>
      </c>
      <c r="B11" s="41">
        <f>VLOOKUP(C11,'Input Data'!$C$2:$D$38,2,FALSE)</f>
        <v>3</v>
      </c>
      <c r="C11" s="41" t="s">
        <v>2</v>
      </c>
      <c r="D11" s="150">
        <v>5900000</v>
      </c>
      <c r="E11" s="150">
        <v>1290000</v>
      </c>
      <c r="F11" s="150">
        <v>860000</v>
      </c>
      <c r="G11" s="150">
        <v>3750000</v>
      </c>
      <c r="H11" s="150">
        <f>J11*450</f>
        <v>1602000</v>
      </c>
      <c r="I11" s="5">
        <v>567536</v>
      </c>
      <c r="J11" s="5">
        <v>3560</v>
      </c>
      <c r="K11" s="201">
        <v>1728</v>
      </c>
      <c r="L11" s="201">
        <v>890</v>
      </c>
      <c r="M11" s="201">
        <f>(K11-L11)+(L11*7/12)</f>
        <v>1357.1666666666665</v>
      </c>
      <c r="N11" s="217">
        <f>442*I11/5280</f>
        <v>47509.642424242425</v>
      </c>
      <c r="O11" s="217">
        <f>J11*17</f>
        <v>60520</v>
      </c>
      <c r="P11" s="217">
        <f>39*K11</f>
        <v>67392</v>
      </c>
      <c r="Q11" s="217">
        <v>28800</v>
      </c>
      <c r="R11" s="217">
        <f>(N11+O11+P11+Q11)*1.1</f>
        <v>224643.8066666667</v>
      </c>
      <c r="S11" s="217">
        <f>R11/12/($V$3*M11)</f>
        <v>27.587351917802618</v>
      </c>
      <c r="T11" s="24">
        <f t="shared" si="0"/>
        <v>59</v>
      </c>
      <c r="U11" s="72">
        <f t="shared" si="1"/>
        <v>633.942337359371</v>
      </c>
      <c r="V11" s="73">
        <f>U11/M11</f>
        <v>0.46710721161196445</v>
      </c>
      <c r="W11" s="69">
        <f aca="true" t="shared" si="3" ref="W11:W25">(M11/$M$26)*$W$27</f>
        <v>41841.22051678455</v>
      </c>
      <c r="Y11" s="286">
        <f t="shared" si="2"/>
        <v>598.0932019879306</v>
      </c>
      <c r="Z11" s="79">
        <f>Y11/M11</f>
        <v>0.4406925226486042</v>
      </c>
      <c r="AA11" s="85">
        <f>(M11/$M$26)*$AA$27</f>
        <v>56254.330516784496</v>
      </c>
      <c r="AC11" s="218">
        <f>0.03*(D11-F11-H11)</f>
        <v>103140</v>
      </c>
      <c r="AD11" s="55">
        <f>(AC11/(M11*$V$3))/12</f>
        <v>12.666093577305661</v>
      </c>
      <c r="AE11" s="55">
        <f>T11+AD11</f>
        <v>71.66609357730566</v>
      </c>
      <c r="AF11" s="102">
        <f>((AC11/'Assessed Value'!E3)*'Assessed Value'!G3)/12</f>
        <v>4.490974551004852</v>
      </c>
      <c r="AH11" s="107">
        <f>'Debt Service'!K21</f>
        <v>266666.6666666667</v>
      </c>
      <c r="AI11" s="107">
        <f>AH11/(12*$V$3*M11)</f>
        <v>32.747963486020716</v>
      </c>
      <c r="AJ11" s="107">
        <f>T11+AI11</f>
        <v>91.74796348602072</v>
      </c>
      <c r="AK11" s="107">
        <f>((AH11/'Assessed Value'!E3)*'Assessed Value'!G3)/12</f>
        <v>11.611336179962128</v>
      </c>
      <c r="AL11" s="157">
        <f>(AH11/'Assessed Value'!E3)*1000</f>
        <v>0.5315273617532495</v>
      </c>
      <c r="AN11" s="58">
        <f>(((AH11+AC11)/'Assessed Value'!E3)*'Assessed Value'!G3)/12</f>
        <v>16.10231073096698</v>
      </c>
      <c r="AO11" s="58">
        <f>T11+AD11+AI11</f>
        <v>104.41405706332637</v>
      </c>
      <c r="AP11" s="58">
        <f>T11</f>
        <v>59</v>
      </c>
      <c r="AU11" s="41"/>
      <c r="AV11" s="41"/>
      <c r="AW11" s="41"/>
      <c r="BA11" s="41"/>
      <c r="BB11" s="41"/>
      <c r="BC11" s="41"/>
      <c r="BD11" s="41"/>
      <c r="BE11" s="41"/>
      <c r="BF11" s="41"/>
      <c r="BG11" s="41"/>
      <c r="BI11" s="41"/>
      <c r="BJ11" s="41"/>
      <c r="BK11" s="41"/>
      <c r="BL11" s="41"/>
    </row>
    <row r="12" spans="1:64" ht="13.5" customHeight="1">
      <c r="A12" s="41" t="s">
        <v>32</v>
      </c>
      <c r="B12" s="41">
        <f>VLOOKUP(C12,'Input Data'!$C$2:$D$38,2,FALSE)</f>
        <v>4</v>
      </c>
      <c r="C12" s="41" t="s">
        <v>3</v>
      </c>
      <c r="D12" s="150">
        <v>2800000</v>
      </c>
      <c r="E12" s="150">
        <v>560000</v>
      </c>
      <c r="F12" s="150">
        <v>480000</v>
      </c>
      <c r="G12" s="150">
        <v>1760000</v>
      </c>
      <c r="H12" s="150">
        <f aca="true" t="shared" si="4" ref="H12:H25">J12*450</f>
        <v>623250</v>
      </c>
      <c r="I12" s="5">
        <v>263956</v>
      </c>
      <c r="J12" s="5">
        <v>1385</v>
      </c>
      <c r="K12" s="201">
        <v>574</v>
      </c>
      <c r="L12" s="201">
        <v>58</v>
      </c>
      <c r="M12" s="201">
        <f aca="true" t="shared" si="5" ref="M12:M26">(K12-L12)+(L12*7/12)</f>
        <v>549.8333333333334</v>
      </c>
      <c r="N12" s="217">
        <f aca="true" t="shared" si="6" ref="N12:N25">442*I12/5280</f>
        <v>22096.316666666666</v>
      </c>
      <c r="O12" s="217">
        <f aca="true" t="shared" si="7" ref="O12:O25">J12*17</f>
        <v>23545</v>
      </c>
      <c r="P12" s="217">
        <f aca="true" t="shared" si="8" ref="P12:P25">39*K12</f>
        <v>22386</v>
      </c>
      <c r="Q12" s="217">
        <v>28800</v>
      </c>
      <c r="R12" s="217">
        <f aca="true" t="shared" si="9" ref="R12:R25">(N12+O12+P12+Q12)*1.1</f>
        <v>106510.04833333334</v>
      </c>
      <c r="S12" s="217">
        <f aca="true" t="shared" si="10" ref="S12:S57">R12/12/($V$3*M12)</f>
        <v>32.285555723956755</v>
      </c>
      <c r="T12" s="24">
        <f t="shared" si="0"/>
        <v>59</v>
      </c>
      <c r="U12" s="72">
        <f t="shared" si="1"/>
        <v>300.57017816156826</v>
      </c>
      <c r="V12" s="73">
        <f aca="true" t="shared" si="11" ref="V12:V25">U12/M12</f>
        <v>0.5466568866230401</v>
      </c>
      <c r="W12" s="69">
        <f t="shared" si="3"/>
        <v>16951.26937060939</v>
      </c>
      <c r="Y12" s="286">
        <f t="shared" si="2"/>
        <v>283.573078629748</v>
      </c>
      <c r="Z12" s="79">
        <f aca="true" t="shared" si="12" ref="Z12:Z25">Y12/M12</f>
        <v>0.5157437016606511</v>
      </c>
      <c r="AA12" s="85">
        <f>(M12/$M$26)*$AA$27</f>
        <v>22790.499370609366</v>
      </c>
      <c r="AC12" s="218">
        <f aca="true" t="shared" si="13" ref="AC12:AC26">0.03*(D12-F12-H12)</f>
        <v>50902.5</v>
      </c>
      <c r="AD12" s="55">
        <f aca="true" t="shared" si="14" ref="AD12:AD57">(AC12/(M12*$V$3))/12</f>
        <v>15.429675659290693</v>
      </c>
      <c r="AE12" s="55">
        <f aca="true" t="shared" si="15" ref="AE12:AE26">T12+AD12</f>
        <v>74.4296756592907</v>
      </c>
      <c r="AF12" s="102">
        <f>((AC12/'Assessed Value'!E4)*'Assessed Value'!G4)/12</f>
        <v>5.896228843450199</v>
      </c>
      <c r="AH12" s="107">
        <f>'Debt Service'!K29</f>
        <v>125155.55555555556</v>
      </c>
      <c r="AI12" s="107">
        <f aca="true" t="shared" si="16" ref="AI12:AI57">AH12/(12*$V$3*M12)</f>
        <v>37.937422114445454</v>
      </c>
      <c r="AJ12" s="107">
        <f aca="true" t="shared" si="17" ref="AJ12:AJ26">T12+AI12</f>
        <v>96.93742211444545</v>
      </c>
      <c r="AK12" s="107">
        <f>((AH12/'Assessed Value'!E4)*'Assessed Value'!G4)/12</f>
        <v>14.497240736401956</v>
      </c>
      <c r="AL12" s="157">
        <f>(AH12/'Assessed Value'!E4)*1000</f>
        <v>0.7288370450741306</v>
      </c>
      <c r="AN12" s="58">
        <f>(((AH12+AC12)/'Assessed Value'!E4)*'Assessed Value'!G4)/12</f>
        <v>20.393469579852155</v>
      </c>
      <c r="AO12" s="58">
        <f aca="true" t="shared" si="18" ref="AO12:AO26">T12+AD12+AI12</f>
        <v>112.36709777373615</v>
      </c>
      <c r="AP12" s="58">
        <f aca="true" t="shared" si="19" ref="AP12:AP26">T12</f>
        <v>59</v>
      </c>
      <c r="AU12" s="41"/>
      <c r="AV12" s="41"/>
      <c r="AW12" s="41"/>
      <c r="BA12" s="41"/>
      <c r="BB12" s="41"/>
      <c r="BC12" s="41"/>
      <c r="BD12" s="41"/>
      <c r="BE12" s="41"/>
      <c r="BF12" s="41"/>
      <c r="BG12" s="41"/>
      <c r="BI12" s="41"/>
      <c r="BJ12" s="41"/>
      <c r="BK12" s="41"/>
      <c r="BL12" s="41"/>
    </row>
    <row r="13" spans="1:64" ht="13.5" customHeight="1">
      <c r="A13" s="41" t="s">
        <v>32</v>
      </c>
      <c r="B13" s="41">
        <f>VLOOKUP(C13,'Input Data'!$C$2:$D$38,2,FALSE)</f>
        <v>5</v>
      </c>
      <c r="C13" s="41" t="s">
        <v>4</v>
      </c>
      <c r="D13" s="150">
        <v>2670000</v>
      </c>
      <c r="E13" s="150">
        <v>530000</v>
      </c>
      <c r="F13" s="150">
        <v>430000</v>
      </c>
      <c r="G13" s="150">
        <v>1710000</v>
      </c>
      <c r="H13" s="150">
        <f t="shared" si="4"/>
        <v>802350</v>
      </c>
      <c r="I13" s="5">
        <v>292591</v>
      </c>
      <c r="J13" s="5">
        <v>1783</v>
      </c>
      <c r="K13" s="201">
        <v>681</v>
      </c>
      <c r="L13" s="201">
        <v>66</v>
      </c>
      <c r="M13" s="201">
        <f t="shared" si="5"/>
        <v>653.5</v>
      </c>
      <c r="N13" s="217">
        <f t="shared" si="6"/>
        <v>24493.413257575758</v>
      </c>
      <c r="O13" s="217">
        <f t="shared" si="7"/>
        <v>30311</v>
      </c>
      <c r="P13" s="217">
        <f t="shared" si="8"/>
        <v>26559</v>
      </c>
      <c r="Q13" s="217">
        <v>28800</v>
      </c>
      <c r="R13" s="217">
        <f t="shared" si="9"/>
        <v>121179.75458333334</v>
      </c>
      <c r="S13" s="217">
        <f t="shared" si="10"/>
        <v>30.905318689960044</v>
      </c>
      <c r="T13" s="24">
        <f t="shared" si="0"/>
        <v>59</v>
      </c>
      <c r="U13" s="72">
        <f t="shared" si="1"/>
        <v>341.96792691989316</v>
      </c>
      <c r="V13" s="73">
        <f t="shared" si="11"/>
        <v>0.5232868047741288</v>
      </c>
      <c r="W13" s="69">
        <f t="shared" si="3"/>
        <v>20147.295302261115</v>
      </c>
      <c r="Y13" s="286">
        <f t="shared" si="2"/>
        <v>322.62980453496635</v>
      </c>
      <c r="Z13" s="79">
        <f t="shared" si="12"/>
        <v>0.4936951867405759</v>
      </c>
      <c r="AA13" s="85">
        <f>(M13/$M$26)*$AA$27</f>
        <v>27087.465302261087</v>
      </c>
      <c r="AC13" s="218">
        <f t="shared" si="13"/>
        <v>43129.5</v>
      </c>
      <c r="AD13" s="55">
        <f t="shared" si="14"/>
        <v>10.999617444529456</v>
      </c>
      <c r="AE13" s="55">
        <f t="shared" si="15"/>
        <v>69.99961744452946</v>
      </c>
      <c r="AF13" s="102">
        <f>((AC13/'Assessed Value'!E5)*'Assessed Value'!G5)/12</f>
        <v>4.484586805834237</v>
      </c>
      <c r="AH13" s="107">
        <f>'Debt Service'!K37</f>
        <v>121600</v>
      </c>
      <c r="AI13" s="107">
        <f t="shared" si="16"/>
        <v>31.012496812037746</v>
      </c>
      <c r="AJ13" s="107">
        <f t="shared" si="17"/>
        <v>90.01249681203774</v>
      </c>
      <c r="AK13" s="107">
        <f>((AH13/'Assessed Value'!E5)*'Assessed Value'!G5)/12</f>
        <v>12.643915547118405</v>
      </c>
      <c r="AL13" s="157">
        <f>(AH13/'Assessed Value'!E5)*1000</f>
        <v>0.8929454394988966</v>
      </c>
      <c r="AN13" s="58">
        <f>(((AH13+AC13)/'Assessed Value'!E5)*'Assessed Value'!G5)/12</f>
        <v>17.12850235295264</v>
      </c>
      <c r="AO13" s="58">
        <f t="shared" si="18"/>
        <v>101.0121142565672</v>
      </c>
      <c r="AP13" s="58">
        <f t="shared" si="19"/>
        <v>59</v>
      </c>
      <c r="AU13" s="41"/>
      <c r="AV13" s="41"/>
      <c r="AW13" s="41"/>
      <c r="BA13" s="41"/>
      <c r="BB13" s="41"/>
      <c r="BC13" s="41"/>
      <c r="BD13" s="41"/>
      <c r="BE13" s="41"/>
      <c r="BF13" s="41"/>
      <c r="BG13" s="41"/>
      <c r="BI13" s="41"/>
      <c r="BJ13" s="41"/>
      <c r="BK13" s="41"/>
      <c r="BL13" s="41"/>
    </row>
    <row r="14" spans="1:64" ht="13.5" customHeight="1">
      <c r="A14" s="41" t="s">
        <v>32</v>
      </c>
      <c r="B14" s="41">
        <f>VLOOKUP(C14,'Input Data'!$C$2:$D$38,2,FALSE)</f>
        <v>6</v>
      </c>
      <c r="C14" s="41" t="s">
        <v>5</v>
      </c>
      <c r="D14" s="150">
        <v>2400000</v>
      </c>
      <c r="E14" s="150">
        <v>500000</v>
      </c>
      <c r="F14" s="150">
        <v>390000</v>
      </c>
      <c r="G14" s="150">
        <v>1510000</v>
      </c>
      <c r="H14" s="150">
        <f t="shared" si="4"/>
        <v>594000</v>
      </c>
      <c r="I14" s="5">
        <v>254954</v>
      </c>
      <c r="J14" s="5">
        <v>1320</v>
      </c>
      <c r="K14" s="201">
        <v>591</v>
      </c>
      <c r="L14" s="201">
        <v>67</v>
      </c>
      <c r="M14" s="201">
        <f t="shared" si="5"/>
        <v>563.0833333333334</v>
      </c>
      <c r="N14" s="217">
        <f t="shared" si="6"/>
        <v>21342.74015151515</v>
      </c>
      <c r="O14" s="217">
        <f t="shared" si="7"/>
        <v>22440</v>
      </c>
      <c r="P14" s="217">
        <f t="shared" si="8"/>
        <v>23049</v>
      </c>
      <c r="Q14" s="217">
        <v>28800</v>
      </c>
      <c r="R14" s="217">
        <f t="shared" si="9"/>
        <v>105194.91416666667</v>
      </c>
      <c r="S14" s="217">
        <f t="shared" si="10"/>
        <v>31.13657367668097</v>
      </c>
      <c r="T14" s="24">
        <f t="shared" si="0"/>
        <v>59</v>
      </c>
      <c r="U14" s="72">
        <f t="shared" si="1"/>
        <v>296.8588840915077</v>
      </c>
      <c r="V14" s="73">
        <f t="shared" si="11"/>
        <v>0.5272023988601587</v>
      </c>
      <c r="W14" s="69">
        <f t="shared" si="3"/>
        <v>17359.764646439475</v>
      </c>
      <c r="Y14" s="286">
        <f t="shared" si="2"/>
        <v>280.0716564607739</v>
      </c>
      <c r="Z14" s="79">
        <f t="shared" si="12"/>
        <v>0.4973893558575236</v>
      </c>
      <c r="AA14" s="85">
        <f>(M14/$M$26)*$AA$27</f>
        <v>23339.709646439453</v>
      </c>
      <c r="AC14" s="218">
        <f t="shared" si="13"/>
        <v>42480</v>
      </c>
      <c r="AD14" s="55">
        <f t="shared" si="14"/>
        <v>12.57362734941542</v>
      </c>
      <c r="AE14" s="55">
        <f t="shared" si="15"/>
        <v>71.57362734941542</v>
      </c>
      <c r="AF14" s="102">
        <f>((AC14/'Assessed Value'!E6)*'Assessed Value'!G6)/12</f>
        <v>5.71634761497146</v>
      </c>
      <c r="AH14" s="107">
        <f>'Debt Service'!K45</f>
        <v>107377.77777777778</v>
      </c>
      <c r="AI14" s="107">
        <f t="shared" si="16"/>
        <v>31.782678045812574</v>
      </c>
      <c r="AJ14" s="107">
        <f t="shared" si="17"/>
        <v>90.78267804581257</v>
      </c>
      <c r="AK14" s="107">
        <f>((AH14/'Assessed Value'!E6)*'Assessed Value'!G6)/12</f>
        <v>14.4493574364627</v>
      </c>
      <c r="AL14" s="157">
        <f>(AH14/'Assessed Value'!E6)*1000</f>
        <v>0.7290311308287478</v>
      </c>
      <c r="AN14" s="58">
        <f>(((AH14+AC14)/'Assessed Value'!E6)*'Assessed Value'!G6)/12</f>
        <v>20.165705051434163</v>
      </c>
      <c r="AO14" s="58">
        <f t="shared" si="18"/>
        <v>103.35630539522799</v>
      </c>
      <c r="AP14" s="58">
        <f t="shared" si="19"/>
        <v>59</v>
      </c>
      <c r="AU14" s="41"/>
      <c r="AV14" s="41"/>
      <c r="AW14" s="41"/>
      <c r="BA14" s="41"/>
      <c r="BB14" s="41"/>
      <c r="BC14" s="41"/>
      <c r="BD14" s="41"/>
      <c r="BE14" s="41"/>
      <c r="BF14" s="41"/>
      <c r="BG14" s="41"/>
      <c r="BI14" s="41"/>
      <c r="BJ14" s="41"/>
      <c r="BK14" s="41"/>
      <c r="BL14" s="41"/>
    </row>
    <row r="15" spans="1:64" ht="13.5" customHeight="1">
      <c r="A15" s="41" t="s">
        <v>33</v>
      </c>
      <c r="B15" s="41">
        <f>VLOOKUP(C15,'Input Data'!$C$2:$D$38,2,FALSE)</f>
        <v>8</v>
      </c>
      <c r="C15" s="41" t="s">
        <v>7</v>
      </c>
      <c r="D15" s="150">
        <v>2210000</v>
      </c>
      <c r="E15" s="150">
        <v>450000</v>
      </c>
      <c r="F15" s="150">
        <v>390000</v>
      </c>
      <c r="G15" s="150">
        <v>1370000</v>
      </c>
      <c r="H15" s="150">
        <f>J15*450</f>
        <v>573750</v>
      </c>
      <c r="I15" s="5">
        <v>265780</v>
      </c>
      <c r="J15" s="5">
        <v>1275</v>
      </c>
      <c r="K15" s="201">
        <v>485</v>
      </c>
      <c r="L15" s="201">
        <v>59</v>
      </c>
      <c r="M15" s="201">
        <f>(K15-L15)+(L15*7/12)</f>
        <v>460.4166666666667</v>
      </c>
      <c r="N15" s="217">
        <f>442*I15/5280</f>
        <v>22249.007575757576</v>
      </c>
      <c r="O15" s="217">
        <f>J15*17</f>
        <v>21675</v>
      </c>
      <c r="P15" s="217">
        <f>39*K15</f>
        <v>18915</v>
      </c>
      <c r="Q15" s="217">
        <v>28800</v>
      </c>
      <c r="R15" s="217">
        <f>(N15+O15+P15+Q15)*1.1</f>
        <v>100802.90833333334</v>
      </c>
      <c r="S15" s="217">
        <f>R15/12/($V$3*M15)</f>
        <v>36.48974057315234</v>
      </c>
      <c r="T15" s="24">
        <f t="shared" si="0"/>
        <v>59</v>
      </c>
      <c r="U15" s="72">
        <f t="shared" si="1"/>
        <v>284.46469221507317</v>
      </c>
      <c r="V15" s="73">
        <f>U15/M15</f>
        <v>0.6178418654445028</v>
      </c>
      <c r="W15" s="69">
        <f t="shared" si="3"/>
        <v>14194.568546925868</v>
      </c>
      <c r="Y15" s="286">
        <f t="shared" si="2"/>
        <v>268.37835019524323</v>
      </c>
      <c r="Z15" s="79">
        <f>Y15/M15</f>
        <v>0.5829032040439671</v>
      </c>
      <c r="AA15" s="85">
        <f>(M15/$M$56)*$AA$56</f>
        <v>16635.926501444777</v>
      </c>
      <c r="AC15" s="218">
        <f>0.03*(D15-F15-H15)</f>
        <v>37387.5</v>
      </c>
      <c r="AD15" s="55">
        <f>(AC15/(M15*$V$3))/12</f>
        <v>13.53393665158371</v>
      </c>
      <c r="AE15" s="55">
        <f>T15+AD15</f>
        <v>72.53393665158372</v>
      </c>
      <c r="AF15" s="102">
        <f>((AC15/'Assessed Value'!E19)*'Assessed Value'!G19)/12</f>
        <v>5.656791266986651</v>
      </c>
      <c r="AH15" s="107">
        <f>'Debt Service'!K61</f>
        <v>97422.22222222222</v>
      </c>
      <c r="AI15" s="107">
        <f>AH15/(12*$V$3*M15)</f>
        <v>35.265962795374556</v>
      </c>
      <c r="AJ15" s="107">
        <f>T15+AI15</f>
        <v>94.26596279537455</v>
      </c>
      <c r="AK15" s="107">
        <f>((AH15/'Assessed Value'!E19)*'Assessed Value'!G19)/12</f>
        <v>14.740145125432283</v>
      </c>
      <c r="AL15" s="157">
        <f>(AH15/'Assessed Value'!E19)*1000</f>
        <v>0.764587163288911</v>
      </c>
      <c r="AN15" s="58">
        <f>(((AH15+AC15)/'Assessed Value'!E19)*'Assessed Value'!G19)/12</f>
        <v>20.396936392418933</v>
      </c>
      <c r="AO15" s="58">
        <f>T15+AD15+AI15</f>
        <v>107.79989944695828</v>
      </c>
      <c r="AP15" s="58">
        <f>T15</f>
        <v>59</v>
      </c>
      <c r="AU15" s="41"/>
      <c r="AV15" s="41"/>
      <c r="AW15" s="41"/>
      <c r="BA15" s="41"/>
      <c r="BB15" s="41"/>
      <c r="BC15" s="41"/>
      <c r="BD15" s="41"/>
      <c r="BE15" s="41"/>
      <c r="BF15" s="41"/>
      <c r="BG15" s="41"/>
      <c r="BI15" s="41"/>
      <c r="BJ15" s="41"/>
      <c r="BK15" s="41"/>
      <c r="BL15" s="41"/>
    </row>
    <row r="16" spans="1:64" ht="13.5" customHeight="1">
      <c r="A16" s="41" t="s">
        <v>32</v>
      </c>
      <c r="B16" s="41">
        <f>VLOOKUP(C16,'Input Data'!$C$2:$D$38,2,FALSE)</f>
        <v>11</v>
      </c>
      <c r="C16" s="41" t="s">
        <v>9</v>
      </c>
      <c r="D16" s="150">
        <v>2150000</v>
      </c>
      <c r="E16" s="150">
        <v>450000</v>
      </c>
      <c r="F16" s="150">
        <v>320000</v>
      </c>
      <c r="G16" s="150">
        <v>1380000</v>
      </c>
      <c r="H16" s="150">
        <f t="shared" si="4"/>
        <v>595800</v>
      </c>
      <c r="I16" s="5">
        <v>211266</v>
      </c>
      <c r="J16" s="5">
        <v>1324</v>
      </c>
      <c r="K16" s="201">
        <v>598</v>
      </c>
      <c r="L16" s="201">
        <v>158</v>
      </c>
      <c r="M16" s="201">
        <f t="shared" si="5"/>
        <v>532.1666666666666</v>
      </c>
      <c r="N16" s="217">
        <f t="shared" si="6"/>
        <v>17685.525</v>
      </c>
      <c r="O16" s="217">
        <f t="shared" si="7"/>
        <v>22508</v>
      </c>
      <c r="P16" s="217">
        <f t="shared" si="8"/>
        <v>23322</v>
      </c>
      <c r="Q16" s="217">
        <v>28800</v>
      </c>
      <c r="R16" s="217">
        <f t="shared" si="9"/>
        <v>101547.0775</v>
      </c>
      <c r="S16" s="217">
        <f t="shared" si="10"/>
        <v>31.803030848731602</v>
      </c>
      <c r="T16" s="24">
        <f t="shared" si="0"/>
        <v>59</v>
      </c>
      <c r="U16" s="72">
        <f t="shared" si="1"/>
        <v>286.56472937126085</v>
      </c>
      <c r="V16" s="73">
        <f t="shared" si="11"/>
        <v>0.5384868074624383</v>
      </c>
      <c r="W16" s="69">
        <f t="shared" si="3"/>
        <v>16406.609002835943</v>
      </c>
      <c r="Y16" s="286">
        <f t="shared" si="2"/>
        <v>270.35963125665603</v>
      </c>
      <c r="Z16" s="79">
        <f t="shared" si="12"/>
        <v>0.5080356365612078</v>
      </c>
      <c r="AA16" s="85">
        <f aca="true" t="shared" si="20" ref="AA16:AA23">(M16/$M$26)*$AA$27</f>
        <v>22058.219002835922</v>
      </c>
      <c r="AC16" s="218">
        <f t="shared" si="13"/>
        <v>37026</v>
      </c>
      <c r="AD16" s="55">
        <f t="shared" si="14"/>
        <v>11.595991230817413</v>
      </c>
      <c r="AE16" s="55">
        <f t="shared" si="15"/>
        <v>70.59599123081742</v>
      </c>
      <c r="AF16" s="102">
        <f>((AC16/'Assessed Value'!E7)*'Assessed Value'!G7)/12</f>
        <v>4.84915780058827</v>
      </c>
      <c r="AH16" s="107">
        <f>'Debt Service'!K77</f>
        <v>98133.33333333334</v>
      </c>
      <c r="AI16" s="107">
        <f t="shared" si="16"/>
        <v>30.733897066499637</v>
      </c>
      <c r="AJ16" s="107">
        <f t="shared" si="17"/>
        <v>89.73389706649964</v>
      </c>
      <c r="AK16" s="107">
        <f>((AH16/'Assessed Value'!E7)*'Assessed Value'!G7)/12</f>
        <v>12.85215845165728</v>
      </c>
      <c r="AL16" s="157">
        <f>(AH16/'Assessed Value'!E7)*1000</f>
        <v>0.6851690565859085</v>
      </c>
      <c r="AN16" s="58">
        <f>(((AH16+AC16)/'Assessed Value'!E7)*'Assessed Value'!G7)/12</f>
        <v>17.70131625224555</v>
      </c>
      <c r="AO16" s="58">
        <f t="shared" si="18"/>
        <v>101.32988829731705</v>
      </c>
      <c r="AP16" s="58">
        <f t="shared" si="19"/>
        <v>59</v>
      </c>
      <c r="AU16" s="41"/>
      <c r="AV16" s="41"/>
      <c r="AW16" s="41"/>
      <c r="BA16" s="41"/>
      <c r="BB16" s="41"/>
      <c r="BC16" s="41"/>
      <c r="BD16" s="41"/>
      <c r="BE16" s="41"/>
      <c r="BF16" s="41"/>
      <c r="BG16" s="41"/>
      <c r="BI16" s="41"/>
      <c r="BJ16" s="41"/>
      <c r="BK16" s="41"/>
      <c r="BL16" s="41"/>
    </row>
    <row r="17" spans="1:64" ht="13.5" customHeight="1">
      <c r="A17" s="41" t="s">
        <v>32</v>
      </c>
      <c r="B17" s="41">
        <f>VLOOKUP(C17,'Input Data'!$C$2:$D$38,2,FALSE)</f>
        <v>13</v>
      </c>
      <c r="C17" s="41" t="s">
        <v>10</v>
      </c>
      <c r="D17" s="150">
        <v>2240000</v>
      </c>
      <c r="E17" s="150">
        <v>440000</v>
      </c>
      <c r="F17" s="150">
        <v>380000</v>
      </c>
      <c r="G17" s="150">
        <v>1420000</v>
      </c>
      <c r="H17" s="150">
        <f t="shared" si="4"/>
        <v>703350</v>
      </c>
      <c r="I17" s="5">
        <v>271827</v>
      </c>
      <c r="J17" s="5">
        <v>1563</v>
      </c>
      <c r="K17" s="201">
        <v>402</v>
      </c>
      <c r="L17" s="201">
        <v>70</v>
      </c>
      <c r="M17" s="201">
        <f t="shared" si="5"/>
        <v>372.8333333333333</v>
      </c>
      <c r="N17" s="217">
        <f t="shared" si="6"/>
        <v>22755.21477272727</v>
      </c>
      <c r="O17" s="217">
        <f t="shared" si="7"/>
        <v>26571</v>
      </c>
      <c r="P17" s="217">
        <f t="shared" si="8"/>
        <v>15678</v>
      </c>
      <c r="Q17" s="217">
        <v>28800</v>
      </c>
      <c r="R17" s="217">
        <f t="shared" si="9"/>
        <v>103184.63625</v>
      </c>
      <c r="S17" s="217">
        <f t="shared" si="10"/>
        <v>46.12634611086276</v>
      </c>
      <c r="T17" s="24">
        <f t="shared" si="0"/>
        <v>59</v>
      </c>
      <c r="U17" s="72">
        <f t="shared" si="1"/>
        <v>291.1859020487639</v>
      </c>
      <c r="V17" s="73">
        <f t="shared" si="11"/>
        <v>0.7810082307968634</v>
      </c>
      <c r="W17" s="69">
        <f t="shared" si="3"/>
        <v>11494.389082162232</v>
      </c>
      <c r="Y17" s="286">
        <f t="shared" si="2"/>
        <v>274.7194788338658</v>
      </c>
      <c r="Z17" s="79">
        <f t="shared" si="12"/>
        <v>0.7368425896303956</v>
      </c>
      <c r="AA17" s="85">
        <f t="shared" si="20"/>
        <v>15453.879082162215</v>
      </c>
      <c r="AC17" s="218">
        <f t="shared" si="13"/>
        <v>34699.5</v>
      </c>
      <c r="AD17" s="55">
        <f t="shared" si="14"/>
        <v>15.511622708985248</v>
      </c>
      <c r="AE17" s="55">
        <f t="shared" si="15"/>
        <v>74.51162270898524</v>
      </c>
      <c r="AF17" s="102">
        <f>((AC17/'Assessed Value'!E8)*'Assessed Value'!G8)/12</f>
        <v>3.7464500394870863</v>
      </c>
      <c r="AH17" s="107">
        <f>'Debt Service'!K85</f>
        <v>100977.77777777778</v>
      </c>
      <c r="AI17" s="107">
        <f t="shared" si="16"/>
        <v>45.139820195698604</v>
      </c>
      <c r="AJ17" s="107">
        <f t="shared" si="17"/>
        <v>104.1398201956986</v>
      </c>
      <c r="AK17" s="107">
        <f>((AH17/'Assessed Value'!E8)*'Assessed Value'!G8)/12</f>
        <v>10.902410684386629</v>
      </c>
      <c r="AL17" s="157">
        <f>(AH17/'Assessed Value'!E8)*1000</f>
        <v>1.1122805478006175</v>
      </c>
      <c r="AN17" s="58">
        <f>(((AH17+AC17)/'Assessed Value'!E8)*'Assessed Value'!G8)/12</f>
        <v>14.648860723873716</v>
      </c>
      <c r="AO17" s="58">
        <f t="shared" si="18"/>
        <v>119.65144290468385</v>
      </c>
      <c r="AP17" s="58">
        <f t="shared" si="19"/>
        <v>59</v>
      </c>
      <c r="AU17" s="41"/>
      <c r="AV17" s="41"/>
      <c r="AW17" s="41"/>
      <c r="BA17" s="41"/>
      <c r="BB17" s="41"/>
      <c r="BC17" s="41"/>
      <c r="BD17" s="41"/>
      <c r="BE17" s="41"/>
      <c r="BF17" s="41"/>
      <c r="BG17" s="41"/>
      <c r="BI17" s="41"/>
      <c r="BJ17" s="41"/>
      <c r="BK17" s="41"/>
      <c r="BL17" s="41"/>
    </row>
    <row r="18" spans="1:64" ht="13.5" customHeight="1">
      <c r="A18" s="41" t="s">
        <v>32</v>
      </c>
      <c r="B18" s="41">
        <f>VLOOKUP(C18,'Input Data'!$C$2:$D$38,2,FALSE)</f>
        <v>19</v>
      </c>
      <c r="C18" s="41" t="s">
        <v>13</v>
      </c>
      <c r="D18" s="150">
        <v>700000</v>
      </c>
      <c r="E18" s="150">
        <v>150000</v>
      </c>
      <c r="F18" s="150">
        <v>130000</v>
      </c>
      <c r="G18" s="150">
        <v>420000</v>
      </c>
      <c r="H18" s="150">
        <f t="shared" si="4"/>
        <v>102600</v>
      </c>
      <c r="I18" s="5">
        <v>53093</v>
      </c>
      <c r="J18" s="5">
        <v>228</v>
      </c>
      <c r="K18" s="201">
        <v>112</v>
      </c>
      <c r="L18" s="201">
        <v>8</v>
      </c>
      <c r="M18" s="201">
        <f t="shared" si="5"/>
        <v>108.66666666666667</v>
      </c>
      <c r="N18" s="217">
        <f t="shared" si="6"/>
        <v>4444.527651515152</v>
      </c>
      <c r="O18" s="217">
        <f t="shared" si="7"/>
        <v>3876</v>
      </c>
      <c r="P18" s="217">
        <f t="shared" si="8"/>
        <v>4368</v>
      </c>
      <c r="Q18" s="217">
        <v>28800</v>
      </c>
      <c r="R18" s="217">
        <f t="shared" si="9"/>
        <v>45637.38041666667</v>
      </c>
      <c r="S18" s="217">
        <f t="shared" si="10"/>
        <v>69.99598223415133</v>
      </c>
      <c r="T18" s="24">
        <f t="shared" si="0"/>
        <v>59</v>
      </c>
      <c r="U18" s="72">
        <f t="shared" si="1"/>
        <v>128.7881826861572</v>
      </c>
      <c r="V18" s="73">
        <f t="shared" si="11"/>
        <v>1.1851673253327348</v>
      </c>
      <c r="W18" s="69">
        <f t="shared" si="3"/>
        <v>3350.175092342323</v>
      </c>
      <c r="Y18" s="286">
        <f t="shared" si="2"/>
        <v>121.50527267483139</v>
      </c>
      <c r="Z18" s="79">
        <f t="shared" si="12"/>
        <v>1.1181466810567304</v>
      </c>
      <c r="AA18" s="85">
        <f t="shared" si="20"/>
        <v>4504.215092342318</v>
      </c>
      <c r="AC18" s="218">
        <f t="shared" si="13"/>
        <v>14022</v>
      </c>
      <c r="AD18" s="55">
        <f t="shared" si="14"/>
        <v>21.50613496932515</v>
      </c>
      <c r="AE18" s="55">
        <f t="shared" si="15"/>
        <v>80.50613496932515</v>
      </c>
      <c r="AF18" s="102">
        <f>((AC18/'Assessed Value'!E9)*'Assessed Value'!G9)/12</f>
        <v>8.310021837671865</v>
      </c>
      <c r="AH18" s="107">
        <f>'Debt Service'!K109</f>
        <v>29866.666666666668</v>
      </c>
      <c r="AI18" s="107">
        <f t="shared" si="16"/>
        <v>45.807770961145195</v>
      </c>
      <c r="AJ18" s="107">
        <f t="shared" si="17"/>
        <v>104.8077709611452</v>
      </c>
      <c r="AK18" s="107">
        <f>((AH18/'Assessed Value'!E9)*'Assessed Value'!G9)/12</f>
        <v>17.700231936846837</v>
      </c>
      <c r="AL18" s="157">
        <f>(AH18/'Assessed Value'!E9)*1000</f>
        <v>0.7278624849407201</v>
      </c>
      <c r="AN18" s="58">
        <f>(((AH18+AC18)/'Assessed Value'!E9)*'Assessed Value'!G9)/12</f>
        <v>26.010253774518706</v>
      </c>
      <c r="AO18" s="58">
        <f t="shared" si="18"/>
        <v>126.31390593047034</v>
      </c>
      <c r="AP18" s="58">
        <f t="shared" si="19"/>
        <v>59</v>
      </c>
      <c r="AU18" s="41"/>
      <c r="AV18" s="41"/>
      <c r="AW18" s="41"/>
      <c r="BA18" s="41"/>
      <c r="BB18" s="41"/>
      <c r="BC18" s="41"/>
      <c r="BD18" s="41"/>
      <c r="BE18" s="41"/>
      <c r="BF18" s="41"/>
      <c r="BG18" s="41"/>
      <c r="BI18" s="41"/>
      <c r="BJ18" s="41"/>
      <c r="BK18" s="41"/>
      <c r="BL18" s="41"/>
    </row>
    <row r="19" spans="1:64" ht="13.5" customHeight="1">
      <c r="A19" s="41" t="s">
        <v>32</v>
      </c>
      <c r="B19" s="41">
        <f>VLOOKUP(C19,'Input Data'!$C$2:$D$38,2,FALSE)</f>
        <v>21</v>
      </c>
      <c r="C19" s="41" t="s">
        <v>15</v>
      </c>
      <c r="D19" s="150">
        <v>2140000</v>
      </c>
      <c r="E19" s="150">
        <v>400000</v>
      </c>
      <c r="F19" s="150">
        <v>350000</v>
      </c>
      <c r="G19" s="150">
        <v>1390000</v>
      </c>
      <c r="H19" s="150">
        <f t="shared" si="4"/>
        <v>580050</v>
      </c>
      <c r="I19" s="5">
        <v>218671</v>
      </c>
      <c r="J19" s="5">
        <v>1289</v>
      </c>
      <c r="K19" s="201">
        <v>465</v>
      </c>
      <c r="L19" s="201">
        <v>32</v>
      </c>
      <c r="M19" s="201">
        <f t="shared" si="5"/>
        <v>451.6666666666667</v>
      </c>
      <c r="N19" s="217">
        <f t="shared" si="6"/>
        <v>18305.413257575758</v>
      </c>
      <c r="O19" s="217">
        <f t="shared" si="7"/>
        <v>21913</v>
      </c>
      <c r="P19" s="217">
        <f t="shared" si="8"/>
        <v>18135</v>
      </c>
      <c r="Q19" s="217">
        <v>28800</v>
      </c>
      <c r="R19" s="217">
        <f t="shared" si="9"/>
        <v>95868.75458333334</v>
      </c>
      <c r="S19" s="217">
        <f t="shared" si="10"/>
        <v>35.37592420049201</v>
      </c>
      <c r="T19" s="24">
        <f t="shared" si="0"/>
        <v>59</v>
      </c>
      <c r="U19" s="72">
        <f t="shared" si="1"/>
        <v>270.54056491515223</v>
      </c>
      <c r="V19" s="73">
        <f t="shared" si="11"/>
        <v>0.5989828005501525</v>
      </c>
      <c r="W19" s="69">
        <f t="shared" si="3"/>
        <v>13924.807515717323</v>
      </c>
      <c r="Y19" s="286">
        <f t="shared" si="2"/>
        <v>255.2416256212283</v>
      </c>
      <c r="Z19" s="79">
        <f t="shared" si="12"/>
        <v>0.5651106102315018</v>
      </c>
      <c r="AA19" s="85">
        <f t="shared" si="20"/>
        <v>18721.507515717305</v>
      </c>
      <c r="AC19" s="218">
        <f t="shared" si="13"/>
        <v>36298.5</v>
      </c>
      <c r="AD19" s="55">
        <f t="shared" si="14"/>
        <v>13.394280442804428</v>
      </c>
      <c r="AE19" s="55">
        <f t="shared" si="15"/>
        <v>72.39428044280443</v>
      </c>
      <c r="AF19" s="102">
        <f>((AC19/'Assessed Value'!E10)*'Assessed Value'!G10)/12</f>
        <v>5.958838228843496</v>
      </c>
      <c r="AH19" s="107">
        <f>'Debt Service'!K125</f>
        <v>98844.44444444444</v>
      </c>
      <c r="AI19" s="107">
        <f t="shared" si="16"/>
        <v>36.47396473964739</v>
      </c>
      <c r="AJ19" s="107">
        <f t="shared" si="17"/>
        <v>95.47396473964739</v>
      </c>
      <c r="AK19" s="107">
        <f>((AH19/'Assessed Value'!E10)*'Assessed Value'!G10)/12</f>
        <v>16.22651223230582</v>
      </c>
      <c r="AL19" s="157">
        <f>(AH19/'Assessed Value'!E10)*1000</f>
        <v>0.934368361399969</v>
      </c>
      <c r="AN19" s="58">
        <f>(((AH19+AC19)/'Assessed Value'!E10)*'Assessed Value'!G10)/12</f>
        <v>22.185350461149312</v>
      </c>
      <c r="AO19" s="58">
        <f t="shared" si="18"/>
        <v>108.86824518245183</v>
      </c>
      <c r="AP19" s="58">
        <f t="shared" si="19"/>
        <v>59</v>
      </c>
      <c r="AU19" s="41"/>
      <c r="AV19" s="41"/>
      <c r="AW19" s="41"/>
      <c r="BA19" s="41"/>
      <c r="BB19" s="41"/>
      <c r="BC19" s="41"/>
      <c r="BD19" s="41"/>
      <c r="BE19" s="41"/>
      <c r="BF19" s="41"/>
      <c r="BG19" s="41"/>
      <c r="BI19" s="41"/>
      <c r="BJ19" s="41"/>
      <c r="BK19" s="41"/>
      <c r="BL19" s="41"/>
    </row>
    <row r="20" spans="1:64" ht="13.5" customHeight="1">
      <c r="A20" s="41" t="s">
        <v>32</v>
      </c>
      <c r="B20" s="41">
        <f>VLOOKUP(C20,'Input Data'!$C$2:$D$38,2,FALSE)</f>
        <v>25</v>
      </c>
      <c r="C20" s="41" t="s">
        <v>17</v>
      </c>
      <c r="D20" s="150">
        <v>1760000</v>
      </c>
      <c r="E20" s="150">
        <v>350000</v>
      </c>
      <c r="F20" s="150">
        <v>300000</v>
      </c>
      <c r="G20" s="150">
        <v>1110000</v>
      </c>
      <c r="H20" s="150">
        <f t="shared" si="4"/>
        <v>440550</v>
      </c>
      <c r="I20" s="5">
        <v>206909</v>
      </c>
      <c r="J20" s="5">
        <v>979</v>
      </c>
      <c r="K20" s="201">
        <v>329</v>
      </c>
      <c r="L20" s="201">
        <v>46</v>
      </c>
      <c r="M20" s="201">
        <f t="shared" si="5"/>
        <v>309.8333333333333</v>
      </c>
      <c r="N20" s="217">
        <f t="shared" si="6"/>
        <v>17320.791287878787</v>
      </c>
      <c r="O20" s="217">
        <f t="shared" si="7"/>
        <v>16643</v>
      </c>
      <c r="P20" s="217">
        <f t="shared" si="8"/>
        <v>12831</v>
      </c>
      <c r="Q20" s="217">
        <v>28800</v>
      </c>
      <c r="R20" s="217">
        <f t="shared" si="9"/>
        <v>83154.27041666668</v>
      </c>
      <c r="S20" s="217">
        <f t="shared" si="10"/>
        <v>44.73064573247267</v>
      </c>
      <c r="T20" s="24">
        <f t="shared" si="0"/>
        <v>59</v>
      </c>
      <c r="U20" s="72">
        <f t="shared" si="1"/>
        <v>234.66043124694286</v>
      </c>
      <c r="V20" s="73">
        <f t="shared" si="11"/>
        <v>0.7573763246270345</v>
      </c>
      <c r="W20" s="69">
        <f t="shared" si="3"/>
        <v>9552.109657460702</v>
      </c>
      <c r="Y20" s="286">
        <f t="shared" si="2"/>
        <v>221.39049631700397</v>
      </c>
      <c r="Z20" s="79">
        <f t="shared" si="12"/>
        <v>0.7145470564292759</v>
      </c>
      <c r="AA20" s="85">
        <f t="shared" si="20"/>
        <v>12842.539657460688</v>
      </c>
      <c r="AC20" s="218">
        <f t="shared" si="13"/>
        <v>30583.5</v>
      </c>
      <c r="AD20" s="55">
        <f t="shared" si="14"/>
        <v>16.4515868746638</v>
      </c>
      <c r="AE20" s="55">
        <f t="shared" si="15"/>
        <v>75.4515868746638</v>
      </c>
      <c r="AF20" s="102">
        <f>((AC20/'Assessed Value'!E12)*'Assessed Value'!G12)/12</f>
        <v>6.041573014596035</v>
      </c>
      <c r="AH20" s="107">
        <f>'Debt Service'!K149</f>
        <v>78933.33333333333</v>
      </c>
      <c r="AI20" s="107">
        <f t="shared" si="16"/>
        <v>42.460103998565536</v>
      </c>
      <c r="AJ20" s="107">
        <f t="shared" si="17"/>
        <v>101.46010399856553</v>
      </c>
      <c r="AK20" s="107">
        <f>((AH20/'Assessed Value'!E12)*'Assessed Value'!G12)/12</f>
        <v>15.59277050104731</v>
      </c>
      <c r="AL20" s="157">
        <f>(AH20/'Assessed Value'!E12)*1000</f>
        <v>0.9169712788718842</v>
      </c>
      <c r="AN20" s="58">
        <f>(((AH20+AC20)/'Assessed Value'!E12)*'Assessed Value'!G12)/12</f>
        <v>21.63434351564334</v>
      </c>
      <c r="AO20" s="58">
        <f t="shared" si="18"/>
        <v>117.91169087322933</v>
      </c>
      <c r="AP20" s="58">
        <f t="shared" si="19"/>
        <v>59</v>
      </c>
      <c r="AU20" s="41"/>
      <c r="AV20" s="41"/>
      <c r="AW20" s="41"/>
      <c r="BA20" s="41"/>
      <c r="BB20" s="41"/>
      <c r="BC20" s="41"/>
      <c r="BD20" s="41"/>
      <c r="BE20" s="41"/>
      <c r="BF20" s="41"/>
      <c r="BG20" s="41"/>
      <c r="BI20" s="41"/>
      <c r="BJ20" s="41"/>
      <c r="BK20" s="41"/>
      <c r="BL20" s="41"/>
    </row>
    <row r="21" spans="1:64" ht="13.5" customHeight="1">
      <c r="A21" s="41" t="s">
        <v>32</v>
      </c>
      <c r="B21" s="41">
        <f>VLOOKUP(C21,'Input Data'!$C$2:$D$38,2,FALSE)</f>
        <v>27</v>
      </c>
      <c r="C21" s="41" t="s">
        <v>18</v>
      </c>
      <c r="D21" s="150">
        <v>1300000</v>
      </c>
      <c r="E21" s="150">
        <v>220000</v>
      </c>
      <c r="F21" s="150">
        <v>220000</v>
      </c>
      <c r="G21" s="150">
        <v>860000</v>
      </c>
      <c r="H21" s="150">
        <f t="shared" si="4"/>
        <v>423900</v>
      </c>
      <c r="I21" s="5">
        <v>164124</v>
      </c>
      <c r="J21" s="5">
        <v>942</v>
      </c>
      <c r="K21" s="201">
        <v>227</v>
      </c>
      <c r="L21" s="201">
        <v>50</v>
      </c>
      <c r="M21" s="201">
        <f t="shared" si="5"/>
        <v>206.16666666666666</v>
      </c>
      <c r="N21" s="217">
        <f t="shared" si="6"/>
        <v>13739.168181818182</v>
      </c>
      <c r="O21" s="217">
        <f t="shared" si="7"/>
        <v>16014</v>
      </c>
      <c r="P21" s="217">
        <f t="shared" si="8"/>
        <v>8853</v>
      </c>
      <c r="Q21" s="217">
        <v>28800</v>
      </c>
      <c r="R21" s="217">
        <f t="shared" si="9"/>
        <v>74146.785</v>
      </c>
      <c r="S21" s="217">
        <f t="shared" si="10"/>
        <v>59.94081244947454</v>
      </c>
      <c r="T21" s="24">
        <f t="shared" si="0"/>
        <v>59</v>
      </c>
      <c r="U21" s="72">
        <f t="shared" si="1"/>
        <v>209.2414070436844</v>
      </c>
      <c r="V21" s="73">
        <f t="shared" si="11"/>
        <v>1.01491385793218</v>
      </c>
      <c r="W21" s="69">
        <f t="shared" si="3"/>
        <v>6356.083725808977</v>
      </c>
      <c r="Y21" s="286">
        <f t="shared" si="2"/>
        <v>197.40890575079874</v>
      </c>
      <c r="Z21" s="79">
        <f t="shared" si="12"/>
        <v>0.9575209656465582</v>
      </c>
      <c r="AA21" s="85">
        <f t="shared" si="20"/>
        <v>8545.573725808967</v>
      </c>
      <c r="AC21" s="218">
        <f t="shared" si="13"/>
        <v>19683</v>
      </c>
      <c r="AD21" s="55">
        <f t="shared" si="14"/>
        <v>15.911883589329022</v>
      </c>
      <c r="AE21" s="55">
        <f t="shared" si="15"/>
        <v>74.91188358932902</v>
      </c>
      <c r="AF21" s="102">
        <f>((AC21/'Assessed Value'!E13)*'Assessed Value'!G13)/12</f>
        <v>1.2579416017403742</v>
      </c>
      <c r="AH21" s="107">
        <f>'Debt Service'!K157</f>
        <v>61155.55555555556</v>
      </c>
      <c r="AI21" s="107">
        <f t="shared" si="16"/>
        <v>49.438605946285826</v>
      </c>
      <c r="AJ21" s="107">
        <f t="shared" si="17"/>
        <v>108.43860594628583</v>
      </c>
      <c r="AK21" s="107">
        <f>((AH21/'Assessed Value'!E13)*'Assessed Value'!G13)/12</f>
        <v>3.9084548854787378</v>
      </c>
      <c r="AL21" s="157">
        <f>(AH21/'Assessed Value'!E13)*1000</f>
        <v>0.20707315992520528</v>
      </c>
      <c r="AN21" s="58">
        <f>(((AH21+AC21)/'Assessed Value'!E13)*'Assessed Value'!G13)/12</f>
        <v>5.166396487219112</v>
      </c>
      <c r="AO21" s="58">
        <f t="shared" si="18"/>
        <v>124.35048953561486</v>
      </c>
      <c r="AP21" s="58">
        <f t="shared" si="19"/>
        <v>59</v>
      </c>
      <c r="AU21" s="41"/>
      <c r="AV21" s="41"/>
      <c r="AW21" s="41"/>
      <c r="BA21" s="41"/>
      <c r="BB21" s="41"/>
      <c r="BC21" s="41"/>
      <c r="BD21" s="41"/>
      <c r="BE21" s="41"/>
      <c r="BF21" s="41"/>
      <c r="BG21" s="41"/>
      <c r="BI21" s="41"/>
      <c r="BJ21" s="41"/>
      <c r="BK21" s="41"/>
      <c r="BL21" s="41"/>
    </row>
    <row r="22" spans="1:64" ht="13.5" customHeight="1">
      <c r="A22" s="41" t="s">
        <v>32</v>
      </c>
      <c r="B22" s="41">
        <f>VLOOKUP(C22,'Input Data'!$C$2:$D$38,2,FALSE)</f>
        <v>30</v>
      </c>
      <c r="C22" s="41" t="s">
        <v>20</v>
      </c>
      <c r="D22" s="150">
        <v>2440000</v>
      </c>
      <c r="E22" s="150">
        <v>510000</v>
      </c>
      <c r="F22" s="150">
        <v>360000</v>
      </c>
      <c r="G22" s="150">
        <v>1570000</v>
      </c>
      <c r="H22" s="150">
        <f t="shared" si="4"/>
        <v>666450</v>
      </c>
      <c r="I22" s="5">
        <v>227670</v>
      </c>
      <c r="J22" s="5">
        <v>1481</v>
      </c>
      <c r="K22" s="201">
        <v>866</v>
      </c>
      <c r="L22" s="201">
        <v>108</v>
      </c>
      <c r="M22" s="201">
        <f t="shared" si="5"/>
        <v>821</v>
      </c>
      <c r="N22" s="217">
        <f t="shared" si="6"/>
        <v>19058.738636363636</v>
      </c>
      <c r="O22" s="217">
        <f t="shared" si="7"/>
        <v>25177</v>
      </c>
      <c r="P22" s="217">
        <f t="shared" si="8"/>
        <v>33774</v>
      </c>
      <c r="Q22" s="217">
        <v>28800</v>
      </c>
      <c r="R22" s="217">
        <f t="shared" si="9"/>
        <v>117490.71250000001</v>
      </c>
      <c r="S22" s="217">
        <f t="shared" si="10"/>
        <v>23.85113936256598</v>
      </c>
      <c r="T22" s="24">
        <f t="shared" si="0"/>
        <v>59</v>
      </c>
      <c r="U22" s="72">
        <f t="shared" si="1"/>
        <v>331.5574909696354</v>
      </c>
      <c r="V22" s="73">
        <f t="shared" si="11"/>
        <v>0.4038459086110054</v>
      </c>
      <c r="W22" s="69">
        <f t="shared" si="3"/>
        <v>25311.292185396134</v>
      </c>
      <c r="Y22" s="286">
        <f t="shared" si="2"/>
        <v>312.80807374866885</v>
      </c>
      <c r="Z22" s="79">
        <f t="shared" si="12"/>
        <v>0.381008616015431</v>
      </c>
      <c r="AA22" s="85">
        <f t="shared" si="20"/>
        <v>34030.3121853961</v>
      </c>
      <c r="AC22" s="218">
        <f t="shared" si="13"/>
        <v>42406.5</v>
      </c>
      <c r="AD22" s="55">
        <f t="shared" si="14"/>
        <v>8.608708891595615</v>
      </c>
      <c r="AE22" s="55">
        <f t="shared" si="15"/>
        <v>67.60870889159561</v>
      </c>
      <c r="AF22" s="102">
        <f>((AC22/'Assessed Value'!E14)*'Assessed Value'!G14)/12</f>
        <v>3.961441045037006</v>
      </c>
      <c r="AH22" s="107">
        <f>'Debt Service'!K173</f>
        <v>111644.44444444444</v>
      </c>
      <c r="AI22" s="107">
        <f t="shared" si="16"/>
        <v>22.66432083728064</v>
      </c>
      <c r="AJ22" s="107">
        <f t="shared" si="17"/>
        <v>81.66432083728064</v>
      </c>
      <c r="AK22" s="107">
        <f>((AH22/'Assessed Value'!E14)*'Assessed Value'!G14)/12</f>
        <v>10.429365419748764</v>
      </c>
      <c r="AL22" s="157">
        <f>(AH22/'Assessed Value'!E14)*1000</f>
        <v>0.5247437790183623</v>
      </c>
      <c r="AN22" s="58">
        <f>(((AH22+AC22)/'Assessed Value'!E14)*'Assessed Value'!G14)/12</f>
        <v>14.390806464785769</v>
      </c>
      <c r="AO22" s="58">
        <f t="shared" si="18"/>
        <v>90.27302972887625</v>
      </c>
      <c r="AP22" s="58">
        <f t="shared" si="19"/>
        <v>59</v>
      </c>
      <c r="AU22" s="41"/>
      <c r="AV22" s="41"/>
      <c r="AW22" s="41"/>
      <c r="BA22" s="41"/>
      <c r="BB22" s="41"/>
      <c r="BC22" s="41"/>
      <c r="BD22" s="41"/>
      <c r="BE22" s="41"/>
      <c r="BF22" s="41"/>
      <c r="BG22" s="41"/>
      <c r="BI22" s="41"/>
      <c r="BJ22" s="41"/>
      <c r="BK22" s="41"/>
      <c r="BL22" s="41"/>
    </row>
    <row r="23" spans="1:64" ht="13.5" customHeight="1">
      <c r="A23" s="41" t="s">
        <v>32</v>
      </c>
      <c r="B23" s="41">
        <f>VLOOKUP(C23,'Input Data'!$C$2:$D$38,2,FALSE)</f>
        <v>34</v>
      </c>
      <c r="C23" s="41" t="s">
        <v>23</v>
      </c>
      <c r="D23" s="150">
        <v>1260000</v>
      </c>
      <c r="E23" s="150">
        <v>270000</v>
      </c>
      <c r="F23" s="150">
        <v>220000</v>
      </c>
      <c r="G23" s="150">
        <v>770000</v>
      </c>
      <c r="H23" s="150">
        <f t="shared" si="4"/>
        <v>252900</v>
      </c>
      <c r="I23" s="5">
        <v>126929</v>
      </c>
      <c r="J23" s="5">
        <v>562</v>
      </c>
      <c r="K23" s="201">
        <v>261</v>
      </c>
      <c r="L23" s="201">
        <v>26</v>
      </c>
      <c r="M23" s="201">
        <f t="shared" si="5"/>
        <v>250.16666666666666</v>
      </c>
      <c r="N23" s="217">
        <f t="shared" si="6"/>
        <v>10625.495833333332</v>
      </c>
      <c r="O23" s="217">
        <f t="shared" si="7"/>
        <v>9554</v>
      </c>
      <c r="P23" s="217">
        <f t="shared" si="8"/>
        <v>10179</v>
      </c>
      <c r="Q23" s="217">
        <v>28800</v>
      </c>
      <c r="R23" s="217">
        <f t="shared" si="9"/>
        <v>65074.34541666667</v>
      </c>
      <c r="S23" s="217">
        <f t="shared" si="10"/>
        <v>43.353994281590055</v>
      </c>
      <c r="T23" s="24">
        <f t="shared" si="0"/>
        <v>59</v>
      </c>
      <c r="U23" s="72">
        <f t="shared" si="1"/>
        <v>183.63908290062838</v>
      </c>
      <c r="V23" s="73">
        <f t="shared" si="11"/>
        <v>0.7340669536334246</v>
      </c>
      <c r="W23" s="69">
        <f t="shared" si="3"/>
        <v>7712.596339886236</v>
      </c>
      <c r="Y23" s="286">
        <f t="shared" si="2"/>
        <v>173.25438076854812</v>
      </c>
      <c r="Z23" s="79">
        <f t="shared" si="12"/>
        <v>0.6925558191947293</v>
      </c>
      <c r="AA23" s="85">
        <f t="shared" si="20"/>
        <v>10369.366339886225</v>
      </c>
      <c r="AC23" s="218">
        <f t="shared" si="13"/>
        <v>23613</v>
      </c>
      <c r="AD23" s="55">
        <f t="shared" si="14"/>
        <v>15.73151232511659</v>
      </c>
      <c r="AE23" s="55">
        <f t="shared" si="15"/>
        <v>74.7315123251166</v>
      </c>
      <c r="AF23" s="102">
        <f>((AC23/'Assessed Value'!E15)*'Assessed Value'!G15)/12</f>
        <v>7.191122651681984</v>
      </c>
      <c r="AH23" s="107">
        <f>'Debt Service'!K205</f>
        <v>54755.55555555556</v>
      </c>
      <c r="AI23" s="107">
        <f t="shared" si="16"/>
        <v>36.47938411429418</v>
      </c>
      <c r="AJ23" s="107">
        <f t="shared" si="17"/>
        <v>95.47938411429418</v>
      </c>
      <c r="AK23" s="107">
        <f>((AH23/'Assessed Value'!E15)*'Assessed Value'!G15)/12</f>
        <v>16.675302412272348</v>
      </c>
      <c r="AL23" s="157">
        <f>(AH23/'Assessed Value'!E15)*1000</f>
        <v>0.6734024622501895</v>
      </c>
      <c r="AN23" s="58">
        <f>(((AH23+AC23)/'Assessed Value'!E15)*'Assessed Value'!G15)/12</f>
        <v>23.866425063954335</v>
      </c>
      <c r="AO23" s="58">
        <f t="shared" si="18"/>
        <v>111.21089643941077</v>
      </c>
      <c r="AP23" s="58">
        <f t="shared" si="19"/>
        <v>59</v>
      </c>
      <c r="AU23" s="41"/>
      <c r="AV23" s="41"/>
      <c r="AW23" s="41"/>
      <c r="BA23" s="41"/>
      <c r="BB23" s="41"/>
      <c r="BC23" s="41"/>
      <c r="BD23" s="41"/>
      <c r="BE23" s="41"/>
      <c r="BF23" s="41"/>
      <c r="BG23" s="41"/>
      <c r="BI23" s="41"/>
      <c r="BJ23" s="41"/>
      <c r="BK23" s="41"/>
      <c r="BL23" s="41"/>
    </row>
    <row r="24" spans="1:64" ht="13.5" customHeight="1">
      <c r="A24" s="41" t="s">
        <v>33</v>
      </c>
      <c r="B24" s="41">
        <f>VLOOKUP(C24,'Input Data'!$C$2:$D$38,2,FALSE)</f>
        <v>35</v>
      </c>
      <c r="C24" s="41" t="s">
        <v>24</v>
      </c>
      <c r="D24" s="150">
        <v>1900000</v>
      </c>
      <c r="E24" s="150">
        <v>410000</v>
      </c>
      <c r="F24" s="150">
        <v>320000</v>
      </c>
      <c r="G24" s="150">
        <v>1170000</v>
      </c>
      <c r="H24" s="150">
        <f>J24*450</f>
        <v>517500</v>
      </c>
      <c r="I24" s="5">
        <v>209038</v>
      </c>
      <c r="J24" s="5">
        <v>1150</v>
      </c>
      <c r="K24" s="201">
        <v>436</v>
      </c>
      <c r="L24" s="201">
        <v>17</v>
      </c>
      <c r="M24" s="201">
        <f>(K24-L24)+(L24*7/12)</f>
        <v>428.9166666666667</v>
      </c>
      <c r="N24" s="217">
        <f>442*I24/5280</f>
        <v>17499.014393939393</v>
      </c>
      <c r="O24" s="217">
        <f>J24*17</f>
        <v>19550</v>
      </c>
      <c r="P24" s="217">
        <f>39*K24</f>
        <v>17004</v>
      </c>
      <c r="Q24" s="217">
        <v>28800</v>
      </c>
      <c r="R24" s="217">
        <f>(N24+O24+P24+Q24)*1.1</f>
        <v>91138.31583333334</v>
      </c>
      <c r="S24" s="217">
        <f>R24/12/($V$3*M24)</f>
        <v>35.414150314098826</v>
      </c>
      <c r="T24" s="24">
        <f t="shared" si="0"/>
        <v>59</v>
      </c>
      <c r="U24" s="72">
        <f t="shared" si="1"/>
        <v>257.19131909169585</v>
      </c>
      <c r="V24" s="73">
        <f>U24/M24</f>
        <v>0.5996300425685545</v>
      </c>
      <c r="W24" s="69">
        <f t="shared" si="3"/>
        <v>13223.428834575103</v>
      </c>
      <c r="Y24" s="286">
        <f t="shared" si="2"/>
        <v>242.64727325168624</v>
      </c>
      <c r="Z24" s="79">
        <f>Y24/M24</f>
        <v>0.565721251023943</v>
      </c>
      <c r="AA24" s="85">
        <f>(M24/$M$56)*$AA$56</f>
        <v>15497.758136278055</v>
      </c>
      <c r="AC24" s="218">
        <f>0.03*(D24-F24-H24)</f>
        <v>31875</v>
      </c>
      <c r="AD24" s="55">
        <f>(AC24/(M24*$V$3))/12</f>
        <v>12.38585583835244</v>
      </c>
      <c r="AE24" s="55">
        <f>T24+AD24</f>
        <v>71.38585583835244</v>
      </c>
      <c r="AF24" s="102">
        <f>((AC24/'Assessed Value'!E23)*'Assessed Value'!G23)/12</f>
        <v>4.9375880229937215</v>
      </c>
      <c r="AH24" s="107">
        <f>'Debt Service'!K213</f>
        <v>83200</v>
      </c>
      <c r="AI24" s="107">
        <f>AH24/(12*$V$3*M24)</f>
        <v>32.32951233728385</v>
      </c>
      <c r="AJ24" s="107">
        <f>T24+AI24</f>
        <v>91.32951233728386</v>
      </c>
      <c r="AK24" s="107">
        <f>((AH24/'Assessed Value'!E23)*'Assessed Value'!G23)/12</f>
        <v>12.888072894527925</v>
      </c>
      <c r="AL24" s="157">
        <f>(AH24/'Assessed Value'!E23)*1000</f>
        <v>0.8965879741172293</v>
      </c>
      <c r="AN24" s="58">
        <f>(((AH24+AC24)/'Assessed Value'!E23)*'Assessed Value'!G23)/12</f>
        <v>17.82566091752165</v>
      </c>
      <c r="AO24" s="58">
        <f>T24+AD24+AI24</f>
        <v>103.71536817563629</v>
      </c>
      <c r="AP24" s="58">
        <f>T24</f>
        <v>59</v>
      </c>
      <c r="AU24" s="41"/>
      <c r="AV24" s="41"/>
      <c r="AW24" s="41"/>
      <c r="BA24" s="41"/>
      <c r="BB24" s="41"/>
      <c r="BC24" s="41"/>
      <c r="BD24" s="41"/>
      <c r="BE24" s="41"/>
      <c r="BF24" s="41"/>
      <c r="BG24" s="41"/>
      <c r="BI24" s="41"/>
      <c r="BJ24" s="41"/>
      <c r="BK24" s="41"/>
      <c r="BL24" s="41"/>
    </row>
    <row r="25" spans="1:64" ht="13.5" customHeight="1">
      <c r="A25" s="41" t="s">
        <v>32</v>
      </c>
      <c r="B25" s="41">
        <f>VLOOKUP(C25,'Input Data'!$C$2:$D$38,2,FALSE)</f>
        <v>36</v>
      </c>
      <c r="C25" s="41" t="s">
        <v>25</v>
      </c>
      <c r="D25" s="219">
        <v>2150000</v>
      </c>
      <c r="E25" s="219">
        <v>450000</v>
      </c>
      <c r="F25" s="219">
        <v>380000</v>
      </c>
      <c r="G25" s="219">
        <v>1320000</v>
      </c>
      <c r="H25" s="219">
        <f t="shared" si="4"/>
        <v>589500</v>
      </c>
      <c r="I25" s="220">
        <v>280652</v>
      </c>
      <c r="J25" s="220">
        <v>1310</v>
      </c>
      <c r="K25" s="202">
        <v>491</v>
      </c>
      <c r="L25" s="202">
        <v>104</v>
      </c>
      <c r="M25" s="202">
        <f t="shared" si="5"/>
        <v>447.6666666666667</v>
      </c>
      <c r="N25" s="221">
        <f t="shared" si="6"/>
        <v>23493.974242424243</v>
      </c>
      <c r="O25" s="221">
        <f t="shared" si="7"/>
        <v>22270</v>
      </c>
      <c r="P25" s="221">
        <f t="shared" si="8"/>
        <v>19149</v>
      </c>
      <c r="Q25" s="221">
        <v>28800</v>
      </c>
      <c r="R25" s="221">
        <f t="shared" si="9"/>
        <v>103084.27166666668</v>
      </c>
      <c r="S25" s="221">
        <f t="shared" si="10"/>
        <v>38.3783587738893</v>
      </c>
      <c r="T25" s="190">
        <f t="shared" si="0"/>
        <v>59</v>
      </c>
      <c r="U25" s="191">
        <f t="shared" si="1"/>
        <v>290.9026743048501</v>
      </c>
      <c r="V25" s="192">
        <f t="shared" si="11"/>
        <v>0.6498198234657858</v>
      </c>
      <c r="W25" s="69">
        <f t="shared" si="3"/>
        <v>13801.488187164843</v>
      </c>
      <c r="Y25" s="287">
        <f t="shared" si="2"/>
        <v>274.45226748313814</v>
      </c>
      <c r="Z25" s="194">
        <f t="shared" si="12"/>
        <v>0.6130728238640465</v>
      </c>
      <c r="AA25" s="195">
        <f>(M25/$M$26)*$AA$27</f>
        <v>18555.708187164822</v>
      </c>
      <c r="AC25" s="222">
        <f t="shared" si="13"/>
        <v>35415</v>
      </c>
      <c r="AD25" s="196">
        <f t="shared" si="14"/>
        <v>13.185033507073713</v>
      </c>
      <c r="AE25" s="196">
        <f t="shared" si="15"/>
        <v>72.18503350707371</v>
      </c>
      <c r="AF25" s="197">
        <f>((AC25/'Assessed Value'!E16)*'Assessed Value'!G16)/12</f>
        <v>5.552746803370451</v>
      </c>
      <c r="AH25" s="198">
        <f>'Debt Service'!K221</f>
        <v>93866.66666666667</v>
      </c>
      <c r="AI25" s="198">
        <f t="shared" si="16"/>
        <v>34.94663688260114</v>
      </c>
      <c r="AJ25" s="198">
        <f t="shared" si="17"/>
        <v>93.94663688260114</v>
      </c>
      <c r="AK25" s="198">
        <f>((AH25/'Assessed Value'!E16)*'Assessed Value'!G16)/12</f>
        <v>14.717431406928506</v>
      </c>
      <c r="AL25" s="199">
        <f>(AH25/'Assessed Value'!E16)*1000</f>
        <v>0.8985604455389439</v>
      </c>
      <c r="AN25" s="200">
        <f>(((AH25+AC25)/'Assessed Value'!E16)*'Assessed Value'!G16)/12</f>
        <v>20.270178210298955</v>
      </c>
      <c r="AO25" s="200">
        <f t="shared" si="18"/>
        <v>107.13167038967485</v>
      </c>
      <c r="AP25" s="200">
        <f t="shared" si="19"/>
        <v>59</v>
      </c>
      <c r="AU25" s="41"/>
      <c r="AV25" s="41"/>
      <c r="AW25" s="41"/>
      <c r="BA25" s="41"/>
      <c r="BB25" s="41"/>
      <c r="BC25" s="41"/>
      <c r="BD25" s="41"/>
      <c r="BE25" s="41"/>
      <c r="BF25" s="41"/>
      <c r="BG25" s="41"/>
      <c r="BI25" s="41"/>
      <c r="BJ25" s="41"/>
      <c r="BK25" s="41"/>
      <c r="BL25" s="41"/>
    </row>
    <row r="26" spans="3:42" s="333" customFormat="1" ht="18" customHeight="1">
      <c r="C26" s="383" t="s">
        <v>185</v>
      </c>
      <c r="D26" s="335">
        <f aca="true" t="shared" si="21" ref="D26:L26">SUM(D10:D25)</f>
        <v>37730000</v>
      </c>
      <c r="E26" s="335">
        <f t="shared" si="21"/>
        <v>7750000</v>
      </c>
      <c r="F26" s="335">
        <f t="shared" si="21"/>
        <v>6170000</v>
      </c>
      <c r="G26" s="335">
        <f t="shared" si="21"/>
        <v>23810000</v>
      </c>
      <c r="H26" s="335">
        <f t="shared" si="21"/>
        <v>9852300</v>
      </c>
      <c r="I26" s="336">
        <f t="shared" si="21"/>
        <v>3994060</v>
      </c>
      <c r="J26" s="336">
        <f t="shared" si="21"/>
        <v>21894</v>
      </c>
      <c r="K26" s="336">
        <f t="shared" si="21"/>
        <v>9123</v>
      </c>
      <c r="L26" s="336">
        <f t="shared" si="21"/>
        <v>1843</v>
      </c>
      <c r="M26" s="337">
        <f t="shared" si="5"/>
        <v>8355.083333333334</v>
      </c>
      <c r="N26" s="335">
        <f>SUM(N10:N25)</f>
        <v>334351.23484848486</v>
      </c>
      <c r="O26" s="335">
        <f>SUM(O10:O25)</f>
        <v>372198</v>
      </c>
      <c r="P26" s="335">
        <f>SUM(P10:P25)</f>
        <v>355797</v>
      </c>
      <c r="Q26" s="335">
        <f>SUM(Q10:Q25)</f>
        <v>460800</v>
      </c>
      <c r="R26" s="335">
        <f>SUM(R10:R25)</f>
        <v>1675460.8583333334</v>
      </c>
      <c r="S26" s="338">
        <f>R27/12/($V$3*M26)</f>
        <v>24.391694643646748</v>
      </c>
      <c r="T26" s="311">
        <f t="shared" si="0"/>
        <v>59</v>
      </c>
      <c r="U26" s="330">
        <f>R27/((T26-(1-$S$3)*$P$108-$S$3*$Q$108)*12)</f>
        <v>3450.637341498288</v>
      </c>
      <c r="W26" s="311">
        <f>SUM(W10:W25)</f>
        <v>257585.81666666683</v>
      </c>
      <c r="Y26" s="339">
        <f>R27/((T26-(1-$S$3)*$S$108-$S$3*$T$108-$U$108)*12)</f>
        <v>3255.505453496628</v>
      </c>
      <c r="AB26" s="311"/>
      <c r="AC26" s="338">
        <f t="shared" si="13"/>
        <v>651231</v>
      </c>
      <c r="AD26" s="311">
        <f t="shared" si="14"/>
        <v>12.990714235844445</v>
      </c>
      <c r="AE26" s="311">
        <f t="shared" si="15"/>
        <v>71.99071423584445</v>
      </c>
      <c r="AF26" s="327">
        <f>((AC26/'Assessed Value'!E17)*'Assessed Value'!G17)/12</f>
        <v>5.427806879537595</v>
      </c>
      <c r="AG26" s="327"/>
      <c r="AH26" s="311">
        <f>SUM(AH10:AH25)</f>
        <v>1693155.5555555557</v>
      </c>
      <c r="AI26" s="311">
        <f t="shared" si="16"/>
        <v>33.774958469505705</v>
      </c>
      <c r="AJ26" s="311">
        <f t="shared" si="17"/>
        <v>92.7749584695057</v>
      </c>
      <c r="AK26" s="311">
        <f>((AH26/'Assessed Value'!E17)*'Assessed Value'!G17)/12</f>
        <v>14.1119224554294</v>
      </c>
      <c r="AL26" s="328">
        <f>(AH26/'Assessed Value'!E17)*1000</f>
        <v>0.7669166870376773</v>
      </c>
      <c r="AM26" s="311"/>
      <c r="AN26" s="311">
        <f>(((AH26+AC26)/'Assessed Value'!E17)*'Assessed Value'!G17)/12</f>
        <v>19.539729334966996</v>
      </c>
      <c r="AO26" s="311">
        <f t="shared" si="18"/>
        <v>105.76567270535016</v>
      </c>
      <c r="AP26" s="311">
        <f t="shared" si="19"/>
        <v>59</v>
      </c>
    </row>
    <row r="27" spans="3:42" s="333" customFormat="1" ht="18" customHeight="1">
      <c r="C27" s="334" t="s">
        <v>177</v>
      </c>
      <c r="D27" s="335"/>
      <c r="E27" s="335"/>
      <c r="F27" s="335"/>
      <c r="G27" s="335"/>
      <c r="H27" s="335"/>
      <c r="I27" s="336"/>
      <c r="J27" s="336"/>
      <c r="K27" s="336"/>
      <c r="L27" s="336"/>
      <c r="M27" s="337"/>
      <c r="N27" s="335"/>
      <c r="O27" s="335"/>
      <c r="P27" s="335">
        <f>0.7*SUM(P10:P25)</f>
        <v>249057.9</v>
      </c>
      <c r="Q27" s="335">
        <v>156000</v>
      </c>
      <c r="R27" s="338">
        <f>(N26+O26+P27+Q27)*1.1</f>
        <v>1222767.8483333334</v>
      </c>
      <c r="S27" s="338"/>
      <c r="T27" s="311"/>
      <c r="U27" s="330"/>
      <c r="V27" s="331">
        <f>U26/M26</f>
        <v>0.4129985547518921</v>
      </c>
      <c r="W27" s="325">
        <f>IF(M26*$V$3&lt;=$O$108,M26*$V$3*($S$4*$T$4+S$5*$T$5+$S$3*$T$3-(1-$S$3)*$P$108-$S$3*$Q$108)*12-R27,IF(M26*$V$3&lt;=$O$109,M26*$V$3*($S$4*$T$4+S$5*$T$5+$S$3*$T$3-(1-$S$3)*$P$109-$S$3*$Q$109)*12-R27,IF(M26*$V$3&lt;=$O$110,M26*$V$3*($S$4*$T$4+S$5*$T$5+$S$3*$T$3-(1-$S$3)*$P$110-$S$3*$Q$110)*12-R27,IF(M26*$V$3&lt;=$O$111,M26*$V$3*($S$4*$T$4+S$5*$T$5+$S$3*$T$3-(1-$S$3)*$P$111-$S$3*$Q$111)*12-R27))))</f>
        <v>257585.81666666688</v>
      </c>
      <c r="Y27" s="339"/>
      <c r="Z27" s="331">
        <f>Y26/M26</f>
        <v>0.3896436844033027</v>
      </c>
      <c r="AA27" s="311">
        <f>IF(M26*$V$3&lt;=$R$108,M26*$V$3*($S$4*$T$4+S$5*$T$5+$S$3*$T$3-(1-$S$3)*$S$108-$S$3*$T$108-$U$108)*12-R27,IF(M26*$V$3&lt;=$R$109,M26*$V$3*($S$4*$T$4+S$5*$T$5+$S$3*$T$3-(1-$S$3)*$S$109-$S$3*$T$109-$U$109)*12-R27,IF(M26*$V$3&lt;=$R$110,M26*$V$3*($S$4*$T$4+S$5*$T$5+$S$3*$T$3-(1-$S$3)*$S$110-$S$3*$T$110-$U$110)*12-R27,IF(M26*$V$3&lt;=$R$111,M26*$V$3*($S$4*$T$4+S$5*$T$5+$S$3*$T$3-(1-$S$3)*$S$111-$S$3*$T$111-$U$111)*12-R27))))</f>
        <v>346316.8016666665</v>
      </c>
      <c r="AB27" s="311"/>
      <c r="AC27" s="338"/>
      <c r="AD27" s="311"/>
      <c r="AE27" s="311"/>
      <c r="AF27" s="327"/>
      <c r="AG27" s="327"/>
      <c r="AH27" s="311"/>
      <c r="AI27" s="311"/>
      <c r="AJ27" s="311"/>
      <c r="AK27" s="311"/>
      <c r="AL27" s="328"/>
      <c r="AM27" s="311"/>
      <c r="AN27" s="311"/>
      <c r="AO27" s="311"/>
      <c r="AP27" s="311"/>
    </row>
    <row r="28" spans="3:42" s="333" customFormat="1" ht="22.5" customHeight="1">
      <c r="C28" s="334"/>
      <c r="D28" s="335"/>
      <c r="E28" s="335"/>
      <c r="F28" s="335"/>
      <c r="G28" s="335"/>
      <c r="H28" s="335"/>
      <c r="I28" s="336"/>
      <c r="J28" s="336"/>
      <c r="K28" s="336"/>
      <c r="L28" s="336"/>
      <c r="M28" s="337"/>
      <c r="N28" s="335"/>
      <c r="O28" s="335"/>
      <c r="P28" s="335"/>
      <c r="Q28" s="335"/>
      <c r="R28" s="338"/>
      <c r="S28" s="338"/>
      <c r="T28" s="311"/>
      <c r="U28" s="330"/>
      <c r="V28" s="331"/>
      <c r="W28" s="325"/>
      <c r="Y28" s="339"/>
      <c r="Z28" s="331"/>
      <c r="AA28" s="311"/>
      <c r="AB28" s="311"/>
      <c r="AC28" s="338"/>
      <c r="AD28" s="311"/>
      <c r="AE28" s="311"/>
      <c r="AF28" s="327"/>
      <c r="AG28" s="327"/>
      <c r="AH28" s="311"/>
      <c r="AI28" s="311"/>
      <c r="AJ28" s="311"/>
      <c r="AK28" s="311"/>
      <c r="AL28" s="328"/>
      <c r="AM28" s="311"/>
      <c r="AN28" s="311"/>
      <c r="AO28" s="311"/>
      <c r="AP28" s="311"/>
    </row>
    <row r="29" spans="1:64" ht="13.5" customHeight="1">
      <c r="A29" s="41" t="s">
        <v>33</v>
      </c>
      <c r="B29" s="41">
        <f>VLOOKUP(C29,'Input Data'!$C$2:$D$38,2,FALSE)</f>
        <v>14</v>
      </c>
      <c r="C29" s="41" t="s">
        <v>11</v>
      </c>
      <c r="D29" s="150">
        <v>1750000</v>
      </c>
      <c r="E29" s="150">
        <v>370000</v>
      </c>
      <c r="F29" s="150">
        <v>310000</v>
      </c>
      <c r="G29" s="150">
        <v>1070000</v>
      </c>
      <c r="H29" s="150">
        <f>J29*450</f>
        <v>367650</v>
      </c>
      <c r="I29" s="5">
        <v>179481</v>
      </c>
      <c r="J29" s="5">
        <v>817</v>
      </c>
      <c r="K29" s="201">
        <v>325</v>
      </c>
      <c r="L29" s="201">
        <v>25</v>
      </c>
      <c r="M29" s="201">
        <f>(K29-L29)+(L29*7/12)</f>
        <v>314.5833333333333</v>
      </c>
      <c r="N29" s="217">
        <f>442*I29/5280</f>
        <v>15024.735227272728</v>
      </c>
      <c r="O29" s="217">
        <f>J29*17</f>
        <v>13889</v>
      </c>
      <c r="P29" s="217">
        <f>39*K29</f>
        <v>12675</v>
      </c>
      <c r="Q29" s="217">
        <v>28800</v>
      </c>
      <c r="R29" s="217">
        <f>(N29+O29+P29+Q29)*1.1</f>
        <v>77427.60875000001</v>
      </c>
      <c r="S29" s="217">
        <f t="shared" si="10"/>
        <v>41.021249668874184</v>
      </c>
      <c r="T29" s="24">
        <f t="shared" si="0"/>
        <v>59</v>
      </c>
      <c r="U29" s="72">
        <f>R29/((T29-(1-$S$3)*$P$108-$S$3*$Q$108)*12)</f>
        <v>218.49985537306696</v>
      </c>
      <c r="V29" s="73">
        <f>U29/M29</f>
        <v>0.694569076682597</v>
      </c>
      <c r="W29" s="69">
        <f>(M29/$M$31)*$W$32</f>
        <v>-7300.608981388424</v>
      </c>
      <c r="Y29" s="286">
        <f>R29/((T29-(1-$S$3)*$S$108-$S$3*$T$108-$U$108)*12)</f>
        <v>206.14379326411083</v>
      </c>
      <c r="Z29" s="79">
        <f>Y29/M29</f>
        <v>0.6552915282567762</v>
      </c>
      <c r="AA29" s="85">
        <f>(M29/$M$56)*$AA$56</f>
        <v>11366.628514561815</v>
      </c>
      <c r="AC29" s="218">
        <f>0.03*(D29-F29-H29)</f>
        <v>32170.5</v>
      </c>
      <c r="AD29" s="55">
        <f t="shared" si="14"/>
        <v>17.043973509933775</v>
      </c>
      <c r="AE29" s="55">
        <f>T29+AD29</f>
        <v>76.04397350993378</v>
      </c>
      <c r="AF29" s="102">
        <f>((AC29/'Assessed Value'!E20)*'Assessed Value'!G20)/12</f>
        <v>7.831888241922845</v>
      </c>
      <c r="AH29" s="107">
        <f>'Debt Service'!K93</f>
        <v>76088.88888888889</v>
      </c>
      <c r="AI29" s="107">
        <f t="shared" si="16"/>
        <v>40.31199411331862</v>
      </c>
      <c r="AJ29" s="107">
        <f>T29+AI29</f>
        <v>99.31199411331862</v>
      </c>
      <c r="AK29" s="107">
        <f>((AH29/'Assessed Value'!E20)*'Assessed Value'!G20)/12</f>
        <v>18.523792736508998</v>
      </c>
      <c r="AL29" s="157">
        <f>(AH29/'Assessed Value'!E20)*1000</f>
        <v>0.8821244985432025</v>
      </c>
      <c r="AN29" s="58">
        <f>(((AH29+AC29)/'Assessed Value'!E20)*'Assessed Value'!G20)/12</f>
        <v>26.355680978431845</v>
      </c>
      <c r="AO29" s="58">
        <f>T29+AD29+AI29</f>
        <v>116.3559676232524</v>
      </c>
      <c r="AP29" s="58">
        <f>T29</f>
        <v>59</v>
      </c>
      <c r="AU29" s="41"/>
      <c r="AV29" s="41"/>
      <c r="AW29" s="41"/>
      <c r="BA29" s="41"/>
      <c r="BB29" s="41"/>
      <c r="BC29" s="41"/>
      <c r="BD29" s="41"/>
      <c r="BE29" s="41"/>
      <c r="BF29" s="41"/>
      <c r="BG29" s="41"/>
      <c r="BI29" s="41"/>
      <c r="BJ29" s="41"/>
      <c r="BK29" s="41"/>
      <c r="BL29" s="41"/>
    </row>
    <row r="30" spans="1:64" ht="13.5" customHeight="1">
      <c r="A30" s="41" t="s">
        <v>33</v>
      </c>
      <c r="B30" s="41">
        <f>VLOOKUP(C30,'Input Data'!$C$2:$D$38,2,FALSE)</f>
        <v>37</v>
      </c>
      <c r="C30" s="41" t="s">
        <v>26</v>
      </c>
      <c r="D30" s="219">
        <v>2860000</v>
      </c>
      <c r="E30" s="219">
        <v>590000</v>
      </c>
      <c r="F30" s="219">
        <v>480000</v>
      </c>
      <c r="G30" s="219">
        <v>1790000</v>
      </c>
      <c r="H30" s="219">
        <f>J30*450</f>
        <v>730350</v>
      </c>
      <c r="I30" s="220">
        <v>310291</v>
      </c>
      <c r="J30" s="220">
        <v>1623</v>
      </c>
      <c r="K30" s="202">
        <v>629</v>
      </c>
      <c r="L30" s="202">
        <v>76</v>
      </c>
      <c r="M30" s="377">
        <f>(K30-L30)+(L30*7/12)</f>
        <v>597.3333333333334</v>
      </c>
      <c r="N30" s="221">
        <f>442*I30/5280</f>
        <v>25975.1178030303</v>
      </c>
      <c r="O30" s="221">
        <f>J30*17</f>
        <v>27591</v>
      </c>
      <c r="P30" s="221">
        <f>39*K30</f>
        <v>24531</v>
      </c>
      <c r="Q30" s="221">
        <v>28800</v>
      </c>
      <c r="R30" s="375">
        <f>(N30+O30+P30+Q30)*1.1</f>
        <v>117586.82958333334</v>
      </c>
      <c r="S30" s="375">
        <f t="shared" si="10"/>
        <v>32.80882521856399</v>
      </c>
      <c r="T30" s="190">
        <f t="shared" si="0"/>
        <v>59</v>
      </c>
      <c r="U30" s="376">
        <f>R30/((T30-(1-$S$3)*$P$108-$S$3*$Q$108)*12)</f>
        <v>331.828732315536</v>
      </c>
      <c r="V30" s="192">
        <f>U30/M30</f>
        <v>0.5555168509746696</v>
      </c>
      <c r="W30" s="69">
        <f>(M30/$M$31)*$W$32</f>
        <v>-13862.454351944962</v>
      </c>
      <c r="Y30" s="287">
        <f>R30/((T30-(1-$S$3)*$S$108-$S$3*$T$108-$U$108)*12)</f>
        <v>313.0639765264466</v>
      </c>
      <c r="Z30" s="194">
        <f>Y30/M30</f>
        <v>0.5241026392741851</v>
      </c>
      <c r="AA30" s="195">
        <f>(M30/$M$56)*$AA$56</f>
        <v>21583.04455427261</v>
      </c>
      <c r="AC30" s="222">
        <f>0.03*(D30-F30-H30)</f>
        <v>49489.5</v>
      </c>
      <c r="AD30" s="196">
        <f t="shared" si="14"/>
        <v>13.808454241071429</v>
      </c>
      <c r="AE30" s="196">
        <f>T30+AD30</f>
        <v>72.80845424107143</v>
      </c>
      <c r="AF30" s="197">
        <f>((AC30/'Assessed Value'!E24)*'Assessed Value'!G24)/12</f>
        <v>6.133455031410668</v>
      </c>
      <c r="AH30" s="198">
        <f>'Debt Service'!K229</f>
        <v>127288.88888888888</v>
      </c>
      <c r="AI30" s="198">
        <f t="shared" si="16"/>
        <v>35.51587301587301</v>
      </c>
      <c r="AJ30" s="198">
        <f>T30+AI30</f>
        <v>94.51587301587301</v>
      </c>
      <c r="AK30" s="198">
        <f>((AH30/'Assessed Value'!E24)*'Assessed Value'!G24)/12</f>
        <v>15.775481182841391</v>
      </c>
      <c r="AL30" s="199">
        <f>(AH30/'Assessed Value'!E24)*1000</f>
        <v>0.7616541804147955</v>
      </c>
      <c r="AN30" s="200">
        <f>(((AH30+AC30)/'Assessed Value'!E24)*'Assessed Value'!G24)/12</f>
        <v>21.908936214252062</v>
      </c>
      <c r="AO30" s="200">
        <f>T30+AD30+AI30</f>
        <v>108.32432725694444</v>
      </c>
      <c r="AP30" s="200">
        <f>T30</f>
        <v>59</v>
      </c>
      <c r="AU30" s="41"/>
      <c r="AV30" s="41"/>
      <c r="AW30" s="41"/>
      <c r="BA30" s="41"/>
      <c r="BB30" s="41"/>
      <c r="BC30" s="41"/>
      <c r="BD30" s="41"/>
      <c r="BE30" s="41"/>
      <c r="BF30" s="41"/>
      <c r="BG30" s="41"/>
      <c r="BI30" s="41"/>
      <c r="BJ30" s="41"/>
      <c r="BK30" s="41"/>
      <c r="BL30" s="41"/>
    </row>
    <row r="31" spans="3:42" s="333" customFormat="1" ht="16.5" customHeight="1">
      <c r="C31" s="383" t="s">
        <v>185</v>
      </c>
      <c r="D31" s="335">
        <f aca="true" t="shared" si="22" ref="D31:L31">SUM(D29:D30)</f>
        <v>4610000</v>
      </c>
      <c r="E31" s="335">
        <f t="shared" si="22"/>
        <v>960000</v>
      </c>
      <c r="F31" s="335">
        <f t="shared" si="22"/>
        <v>790000</v>
      </c>
      <c r="G31" s="335">
        <f t="shared" si="22"/>
        <v>2860000</v>
      </c>
      <c r="H31" s="335">
        <f t="shared" si="22"/>
        <v>1098000</v>
      </c>
      <c r="I31" s="335">
        <f t="shared" si="22"/>
        <v>489772</v>
      </c>
      <c r="J31" s="335">
        <f t="shared" si="22"/>
        <v>2440</v>
      </c>
      <c r="K31" s="335">
        <f t="shared" si="22"/>
        <v>954</v>
      </c>
      <c r="L31" s="335">
        <f t="shared" si="22"/>
        <v>101</v>
      </c>
      <c r="M31" s="378">
        <f>(K31-L31)+(L31*7/12)</f>
        <v>911.9166666666666</v>
      </c>
      <c r="N31" s="335">
        <f>SUM(N29:N30)</f>
        <v>40999.85303030303</v>
      </c>
      <c r="O31" s="335">
        <f>SUM(O29:O30)</f>
        <v>41480</v>
      </c>
      <c r="P31" s="311">
        <f>SUM(P29:P30)</f>
        <v>37206</v>
      </c>
      <c r="Q31" s="335">
        <f>SUM(Q29:Q30)</f>
        <v>57600</v>
      </c>
      <c r="R31" s="379">
        <f>(N31+O31+P32+Q31)*1.1</f>
        <v>182736.45833333337</v>
      </c>
      <c r="S31" s="379">
        <f t="shared" si="10"/>
        <v>33.397872308020354</v>
      </c>
      <c r="T31" s="335">
        <v>59</v>
      </c>
      <c r="U31" s="380">
        <f>R31/((T31-(1-$S$3)*$P$108-$S$3*$Q$108)*12)</f>
        <v>515.6802639500321</v>
      </c>
      <c r="W31" s="388"/>
      <c r="Y31" s="339">
        <f>R31/((T31-(1-$S$3)*$S$108-$S$3*$T$108-$U$108)*12)</f>
        <v>486.51879215477476</v>
      </c>
      <c r="AB31" s="311"/>
      <c r="AC31" s="338">
        <f>0.03*(D31-F31-H31)</f>
        <v>81660</v>
      </c>
      <c r="AD31" s="311">
        <f t="shared" si="14"/>
        <v>14.924609339303665</v>
      </c>
      <c r="AE31" s="311">
        <f>T31+AD31</f>
        <v>73.92460933930366</v>
      </c>
      <c r="AF31" s="327">
        <f>((AC31/'Assessed Value'!E25)*'Assessed Value'!G25)/12</f>
        <v>1.4398355449869478</v>
      </c>
      <c r="AG31" s="327"/>
      <c r="AH31" s="311">
        <f>SUM(AH10:AH30)</f>
        <v>3589688.8888888895</v>
      </c>
      <c r="AI31" s="311">
        <f t="shared" si="16"/>
        <v>656.0703443094013</v>
      </c>
      <c r="AJ31" s="311">
        <f>T31+AI31</f>
        <v>715.0703443094013</v>
      </c>
      <c r="AK31" s="311">
        <f>((AH31/'Assessed Value'!E25)*'Assessed Value'!G25)/12</f>
        <v>63.29367692465007</v>
      </c>
      <c r="AL31" s="328">
        <f>(AH31/'Assessed Value'!E25)*1000</f>
        <v>2.5027030063183804</v>
      </c>
      <c r="AM31" s="311"/>
      <c r="AN31" s="311">
        <f>(((AH31+AC31)/'Assessed Value'!E25)*'Assessed Value'!G25)/12</f>
        <v>64.73351246963702</v>
      </c>
      <c r="AO31" s="311">
        <f>T31+AD31+AI31</f>
        <v>729.994953648705</v>
      </c>
      <c r="AP31" s="311">
        <f>T31</f>
        <v>59</v>
      </c>
    </row>
    <row r="32" spans="3:42" s="333" customFormat="1" ht="14.25" customHeight="1">
      <c r="C32" s="334" t="s">
        <v>177</v>
      </c>
      <c r="D32" s="335"/>
      <c r="E32" s="335"/>
      <c r="F32" s="335"/>
      <c r="G32" s="335"/>
      <c r="H32" s="335"/>
      <c r="I32" s="335"/>
      <c r="J32" s="335"/>
      <c r="K32" s="335"/>
      <c r="L32" s="335"/>
      <c r="M32" s="384"/>
      <c r="N32" s="335"/>
      <c r="O32" s="335"/>
      <c r="P32" s="335">
        <f>0.7*SUM(P29:P30)</f>
        <v>26044.199999999997</v>
      </c>
      <c r="Q32" s="335"/>
      <c r="R32" s="385"/>
      <c r="S32" s="385"/>
      <c r="T32" s="335"/>
      <c r="U32" s="386"/>
      <c r="V32" s="331">
        <f>U31/M31</f>
        <v>0.5654905571964165</v>
      </c>
      <c r="W32" s="387">
        <f>IF(M31*$V$3&lt;=$O$108,M31*$V$3*($S$4*$T$4+S$5*$T$5+$S$3*$T$3-(1-$S$3)*$P$108-$S$3*$Q$108)*12-R31,IF(M31*$V$3&lt;=$O$109,M31*$V$3*($S$4*$T$4+S$5*$T$5+$S$3*$T$3-(1-$S$3)*$P$109-$S$3*$Q$109)*12-R31,IF(M31*$V$3&lt;=$O$110,M31*$V$3*($S$4*$T$4+S$5*$T$5+$S$3*$T$3-(1-$S$3)*$P$110-$S$3*$Q$110)*12-R31,IF(M31*$V$3&lt;=$O$111,M31*$V$3*($S$4*$T$4+S$5*$T$5+$S$3*$T$3-(1-$S$3)*$P$111-$S$3*$Q$111)*12-R31))))</f>
        <v>-21163.063333333383</v>
      </c>
      <c r="Y32" s="339"/>
      <c r="Z32" s="331">
        <f>Y31/M31</f>
        <v>0.5335123371888236</v>
      </c>
      <c r="AA32" s="311">
        <f>IF(M31*$V$3&lt;=$R$108,M31*$V$3*($S$4*$T$4+S$5*$T$5+$S$3*$T$3-(1-$S$3)*$S$108-$S$3*$T$108-$U$108)*12-R31,IF(M31*$V$3&lt;=$R$109,M31*$V$3*($S$4*$T$4+S$5*$T$5+$S$3*$T$3-(1-$S$3)*$S$109-$S$3*$T$109-$U$109)*12-R31,IF(M31*$V$3&lt;=$R$110,M31*$V$3*($S$4*$T$4+S$5*$T$5+$S$3*$T$3-(1-$S$3)*$S$110-$S$3*$T$110-$U$110)*12-R31,IF(M31*$V$3&lt;=$R$111,M31*$V$3*($S$4*$T$4+S$5*$T$5+$S$3*$T$3-(1-$S$3)*$S$111-$S$3*$T$111-$U$111)*12-R31))))</f>
        <v>-11478.508333333419</v>
      </c>
      <c r="AB32" s="311"/>
      <c r="AC32" s="338"/>
      <c r="AD32" s="311"/>
      <c r="AE32" s="311"/>
      <c r="AF32" s="327"/>
      <c r="AG32" s="327"/>
      <c r="AH32" s="311"/>
      <c r="AI32" s="311"/>
      <c r="AJ32" s="311"/>
      <c r="AK32" s="311"/>
      <c r="AL32" s="328"/>
      <c r="AM32" s="311"/>
      <c r="AN32" s="311"/>
      <c r="AO32" s="311"/>
      <c r="AP32" s="311"/>
    </row>
    <row r="33" spans="3:42" s="333" customFormat="1" ht="14.25" customHeight="1">
      <c r="C33" s="334"/>
      <c r="D33" s="335"/>
      <c r="E33" s="335"/>
      <c r="F33" s="335"/>
      <c r="G33" s="335"/>
      <c r="H33" s="335"/>
      <c r="I33" s="335"/>
      <c r="J33" s="335"/>
      <c r="K33" s="335"/>
      <c r="L33" s="335"/>
      <c r="M33" s="384"/>
      <c r="N33" s="335"/>
      <c r="O33" s="335"/>
      <c r="P33" s="335"/>
      <c r="Q33" s="335"/>
      <c r="R33" s="385"/>
      <c r="S33" s="385"/>
      <c r="T33" s="335"/>
      <c r="U33" s="386"/>
      <c r="V33" s="331"/>
      <c r="W33" s="387"/>
      <c r="Y33" s="339"/>
      <c r="Z33" s="331"/>
      <c r="AA33" s="311"/>
      <c r="AB33" s="311"/>
      <c r="AC33" s="338"/>
      <c r="AD33" s="311"/>
      <c r="AE33" s="311"/>
      <c r="AF33" s="327"/>
      <c r="AG33" s="327"/>
      <c r="AH33" s="311"/>
      <c r="AI33" s="311"/>
      <c r="AJ33" s="311"/>
      <c r="AK33" s="311"/>
      <c r="AL33" s="328"/>
      <c r="AM33" s="311"/>
      <c r="AN33" s="311"/>
      <c r="AO33" s="311"/>
      <c r="AP33" s="311"/>
    </row>
    <row r="34" spans="1:64" ht="13.5" customHeight="1">
      <c r="A34" s="41" t="s">
        <v>34</v>
      </c>
      <c r="B34" s="41">
        <f>VLOOKUP(C34,'Input Data'!$C$2:$D$38,2,FALSE)</f>
        <v>7</v>
      </c>
      <c r="C34" s="41" t="s">
        <v>6</v>
      </c>
      <c r="D34" s="150">
        <v>3550000</v>
      </c>
      <c r="E34" s="150">
        <v>690000</v>
      </c>
      <c r="F34" s="150">
        <v>610000</v>
      </c>
      <c r="G34" s="150">
        <v>2250000</v>
      </c>
      <c r="H34" s="150">
        <f aca="true" t="shared" si="23" ref="H34:H52">J34*450</f>
        <v>810900</v>
      </c>
      <c r="I34" s="5">
        <v>381843</v>
      </c>
      <c r="J34" s="5">
        <v>1802</v>
      </c>
      <c r="K34" s="201">
        <v>797</v>
      </c>
      <c r="L34" s="201">
        <v>66</v>
      </c>
      <c r="M34" s="201">
        <f aca="true" t="shared" si="24" ref="M34:M53">(K34-L34)+(L34*7/12)</f>
        <v>769.5</v>
      </c>
      <c r="N34" s="217">
        <f aca="true" t="shared" si="25" ref="N34:N52">442*I34/5280</f>
        <v>31964.8875</v>
      </c>
      <c r="O34" s="217">
        <f aca="true" t="shared" si="26" ref="O34:O52">J34*17</f>
        <v>30634</v>
      </c>
      <c r="P34" s="217">
        <f>39*K34</f>
        <v>31083</v>
      </c>
      <c r="Q34" s="217">
        <v>28800</v>
      </c>
      <c r="R34" s="217">
        <f aca="true" t="shared" si="27" ref="R34:R41">(N34+O34+P34+Q34)*1.1</f>
        <v>134730.07625</v>
      </c>
      <c r="S34" s="217">
        <f t="shared" si="10"/>
        <v>29.18130306476067</v>
      </c>
      <c r="T34" s="24">
        <f aca="true" t="shared" si="28" ref="T34:T53">$S$3*$T$3+$S$4*$T$4+$S$5*$T$5</f>
        <v>59</v>
      </c>
      <c r="U34" s="72">
        <f aca="true" t="shared" si="29" ref="U34:U52">R34/((T34-(1-$S$3)*$P$108-$S$3*$Q$108)*12)</f>
        <v>380.20678476690375</v>
      </c>
      <c r="V34" s="73">
        <f aca="true" t="shared" si="30" ref="V34:V41">U34/M34</f>
        <v>0.49409588663665205</v>
      </c>
      <c r="W34" s="81">
        <f>(M34/$M$57)*$W$57</f>
        <v>22395.1893803141</v>
      </c>
      <c r="Y34" s="286">
        <f aca="true" t="shared" si="31" ref="Y34:Y52">R34/((T34-(1-$S$3)*$S$108-$S$3*$T$108-$U$108)*12)</f>
        <v>358.7062732960597</v>
      </c>
      <c r="Z34" s="79">
        <f aca="true" t="shared" si="32" ref="Z34:Z41">Y34/M34</f>
        <v>0.4661550010345155</v>
      </c>
      <c r="AA34" s="85">
        <f>(M34/$M$57)*$AA$57</f>
        <v>24380.49938031405</v>
      </c>
      <c r="AC34" s="218">
        <f aca="true" t="shared" si="33" ref="AC34:AC53">0.03*(D34-F34-H34)</f>
        <v>63873</v>
      </c>
      <c r="AD34" s="55">
        <f t="shared" si="14"/>
        <v>13.83430799220273</v>
      </c>
      <c r="AE34" s="55">
        <f aca="true" t="shared" si="34" ref="AE34:AE41">T34+AD34</f>
        <v>72.83430799220272</v>
      </c>
      <c r="AF34" s="102">
        <f>((AC34/'Assessed Value'!E26)*'Assessed Value'!G26)/12</f>
        <v>5.557465527565797</v>
      </c>
      <c r="AH34" s="107">
        <f>'Debt Service'!K53</f>
        <v>160000</v>
      </c>
      <c r="AI34" s="107">
        <f t="shared" si="16"/>
        <v>34.65453757851419</v>
      </c>
      <c r="AJ34" s="107">
        <f aca="true" t="shared" si="35" ref="AJ34:AJ41">T34+AI34</f>
        <v>93.65453757851418</v>
      </c>
      <c r="AK34" s="107">
        <f>((AH34/'Assessed Value'!E26)*'Assessed Value'!G26)/12</f>
        <v>13.921288876528854</v>
      </c>
      <c r="AL34" s="157">
        <f>(AH34/'Assessed Value'!E26)*1000</f>
        <v>0.9339269723392135</v>
      </c>
      <c r="AN34" s="58">
        <f>(((AH34+AC34)/'Assessed Value'!E26)*'Assessed Value'!G26)/12</f>
        <v>19.47875440409465</v>
      </c>
      <c r="AO34" s="58">
        <f aca="true" t="shared" si="36" ref="AO34:AO41">T34+AD34+AI34</f>
        <v>107.4888455707169</v>
      </c>
      <c r="AP34" s="58">
        <f aca="true" t="shared" si="37" ref="AP34:AP41">T34</f>
        <v>59</v>
      </c>
      <c r="AU34" s="41"/>
      <c r="AV34" s="41"/>
      <c r="AW34" s="41"/>
      <c r="BA34" s="41"/>
      <c r="BB34" s="41"/>
      <c r="BC34" s="41"/>
      <c r="BD34" s="41"/>
      <c r="BE34" s="41"/>
      <c r="BF34" s="41"/>
      <c r="BG34" s="41"/>
      <c r="BI34" s="41"/>
      <c r="BJ34" s="41"/>
      <c r="BK34" s="41"/>
      <c r="BL34" s="41"/>
    </row>
    <row r="35" spans="1:64" ht="13.5" customHeight="1">
      <c r="A35" s="41" t="s">
        <v>34</v>
      </c>
      <c r="B35" s="41">
        <f>VLOOKUP(C35,'Input Data'!$C$2:$D$38,2,FALSE)</f>
        <v>9</v>
      </c>
      <c r="C35" s="41" t="s">
        <v>8</v>
      </c>
      <c r="D35" s="150">
        <v>2940000</v>
      </c>
      <c r="E35" s="150">
        <v>660000</v>
      </c>
      <c r="F35" s="150">
        <v>410000</v>
      </c>
      <c r="G35" s="150">
        <v>1870000</v>
      </c>
      <c r="H35" s="150">
        <f t="shared" si="23"/>
        <v>826650</v>
      </c>
      <c r="I35" s="5">
        <v>295465</v>
      </c>
      <c r="J35" s="5">
        <v>1837</v>
      </c>
      <c r="K35" s="201">
        <v>921</v>
      </c>
      <c r="L35" s="201">
        <v>325</v>
      </c>
      <c r="M35" s="201">
        <f t="shared" si="24"/>
        <v>785.5833333333334</v>
      </c>
      <c r="N35" s="217">
        <f t="shared" si="25"/>
        <v>24734.001893939392</v>
      </c>
      <c r="O35" s="217">
        <f t="shared" si="26"/>
        <v>31229</v>
      </c>
      <c r="P35" s="217">
        <f aca="true" t="shared" si="38" ref="P35:P52">39*K35</f>
        <v>35919</v>
      </c>
      <c r="Q35" s="217">
        <v>28800</v>
      </c>
      <c r="R35" s="217">
        <f t="shared" si="27"/>
        <v>132750.20208333334</v>
      </c>
      <c r="S35" s="217">
        <f t="shared" si="10"/>
        <v>28.163827746543614</v>
      </c>
      <c r="T35" s="24">
        <f t="shared" si="28"/>
        <v>59</v>
      </c>
      <c r="U35" s="72">
        <f t="shared" si="29"/>
        <v>374.61960177032773</v>
      </c>
      <c r="V35" s="73">
        <f t="shared" si="30"/>
        <v>0.47686806208167315</v>
      </c>
      <c r="W35" s="81">
        <f>(M35/$M$57)*$W$57</f>
        <v>22863.27163615129</v>
      </c>
      <c r="Y35" s="286">
        <f t="shared" si="31"/>
        <v>353.43504282037634</v>
      </c>
      <c r="Z35" s="79">
        <f t="shared" si="32"/>
        <v>0.44990140170197473</v>
      </c>
      <c r="AA35" s="85">
        <f>(M35/$M$57)*$AA$57</f>
        <v>24890.07663615124</v>
      </c>
      <c r="AC35" s="218">
        <f t="shared" si="33"/>
        <v>51100.5</v>
      </c>
      <c r="AD35" s="55">
        <f t="shared" si="14"/>
        <v>10.841306884480746</v>
      </c>
      <c r="AE35" s="55">
        <f t="shared" si="34"/>
        <v>69.84130688448074</v>
      </c>
      <c r="AF35" s="102">
        <f>((AC35/'Assessed Value'!E27)*'Assessed Value'!G27)/12</f>
        <v>4.368848312448708</v>
      </c>
      <c r="AH35" s="107">
        <f>'Debt Service'!K69</f>
        <v>132977.77777777778</v>
      </c>
      <c r="AI35" s="107">
        <f t="shared" si="16"/>
        <v>28.212109425645014</v>
      </c>
      <c r="AJ35" s="107">
        <f t="shared" si="35"/>
        <v>87.21210942564501</v>
      </c>
      <c r="AK35" s="107">
        <f>((AH35/'Assessed Value'!E27)*'Assessed Value'!G27)/12</f>
        <v>11.36896390519904</v>
      </c>
      <c r="AL35" s="157">
        <f>(AH35/'Assessed Value'!E27)*1000</f>
        <v>0.34110072729871577</v>
      </c>
      <c r="AN35" s="58">
        <f>(((AH35+AC35)/'Assessed Value'!E27)*'Assessed Value'!G27)/12</f>
        <v>15.73781221764775</v>
      </c>
      <c r="AO35" s="58">
        <f t="shared" si="36"/>
        <v>98.05341631012575</v>
      </c>
      <c r="AP35" s="58">
        <f t="shared" si="37"/>
        <v>59</v>
      </c>
      <c r="AU35" s="41"/>
      <c r="AV35" s="41"/>
      <c r="AW35" s="41"/>
      <c r="BA35" s="41"/>
      <c r="BB35" s="41"/>
      <c r="BC35" s="41"/>
      <c r="BD35" s="41"/>
      <c r="BE35" s="41"/>
      <c r="BF35" s="41"/>
      <c r="BG35" s="41"/>
      <c r="BI35" s="41"/>
      <c r="BJ35" s="41"/>
      <c r="BK35" s="41"/>
      <c r="BL35" s="41"/>
    </row>
    <row r="36" spans="1:64" ht="13.5" customHeight="1">
      <c r="A36" s="41" t="s">
        <v>34</v>
      </c>
      <c r="B36" s="41">
        <f>VLOOKUP(C36,'Input Data'!$C$2:$D$38,2,FALSE)</f>
        <v>20</v>
      </c>
      <c r="C36" s="41" t="s">
        <v>14</v>
      </c>
      <c r="D36" s="150">
        <v>4730000</v>
      </c>
      <c r="E36" s="150">
        <v>920000</v>
      </c>
      <c r="F36" s="150">
        <v>790000</v>
      </c>
      <c r="G36" s="150">
        <v>3020000</v>
      </c>
      <c r="H36" s="150">
        <f t="shared" si="23"/>
        <v>1268100</v>
      </c>
      <c r="I36" s="5">
        <v>510203</v>
      </c>
      <c r="J36" s="5">
        <v>2818</v>
      </c>
      <c r="K36" s="201">
        <v>1039</v>
      </c>
      <c r="L36" s="201">
        <v>347</v>
      </c>
      <c r="M36" s="201">
        <f t="shared" si="24"/>
        <v>894.4166666666666</v>
      </c>
      <c r="N36" s="217">
        <f t="shared" si="25"/>
        <v>42710.17537878788</v>
      </c>
      <c r="O36" s="217">
        <f t="shared" si="26"/>
        <v>47906</v>
      </c>
      <c r="P36" s="217">
        <f t="shared" si="38"/>
        <v>40521</v>
      </c>
      <c r="Q36" s="217">
        <v>28800</v>
      </c>
      <c r="R36" s="217">
        <f t="shared" si="27"/>
        <v>175930.8929166667</v>
      </c>
      <c r="S36" s="217">
        <f t="shared" si="10"/>
        <v>32.7831720705612</v>
      </c>
      <c r="T36" s="24">
        <f t="shared" si="28"/>
        <v>59</v>
      </c>
      <c r="U36" s="72">
        <f t="shared" si="29"/>
        <v>496.47503362870157</v>
      </c>
      <c r="V36" s="73">
        <f t="shared" si="30"/>
        <v>0.5550824935753674</v>
      </c>
      <c r="W36" s="81">
        <f>(M36/$M$57)*$W$57</f>
        <v>26030.70907720502</v>
      </c>
      <c r="Y36" s="286">
        <f t="shared" si="31"/>
        <v>468.39960840433093</v>
      </c>
      <c r="Z36" s="79">
        <f t="shared" si="32"/>
        <v>0.5236928445776551</v>
      </c>
      <c r="AA36" s="85">
        <f>(M36/$M$57)*$AA$57</f>
        <v>28338.304077204964</v>
      </c>
      <c r="AC36" s="218">
        <f t="shared" si="33"/>
        <v>80157</v>
      </c>
      <c r="AD36" s="55">
        <f t="shared" si="14"/>
        <v>14.936550824559768</v>
      </c>
      <c r="AE36" s="55">
        <f t="shared" si="34"/>
        <v>73.93655082455977</v>
      </c>
      <c r="AF36" s="102">
        <f>((AC36/'Assessed Value'!E28)*'Assessed Value'!G28)/12</f>
        <v>6.078220719287109</v>
      </c>
      <c r="AH36" s="107">
        <f>'Debt Service'!K117</f>
        <v>214755.55555555556</v>
      </c>
      <c r="AI36" s="107">
        <f t="shared" si="16"/>
        <v>40.017805936002155</v>
      </c>
      <c r="AJ36" s="107">
        <f t="shared" si="35"/>
        <v>99.01780593600216</v>
      </c>
      <c r="AK36" s="107">
        <f>((AH36/'Assessed Value'!E28)*'Assessed Value'!G28)/12</f>
        <v>16.28468714347832</v>
      </c>
      <c r="AL36" s="157">
        <f>(AH36/'Assessed Value'!E28)*1000</f>
        <v>0.43500486586297044</v>
      </c>
      <c r="AN36" s="58">
        <f>(((AH36+AC36)/'Assessed Value'!E28)*'Assessed Value'!G28)/12</f>
        <v>22.36290786276543</v>
      </c>
      <c r="AO36" s="58">
        <f t="shared" si="36"/>
        <v>113.95435676056192</v>
      </c>
      <c r="AP36" s="58">
        <f t="shared" si="37"/>
        <v>59</v>
      </c>
      <c r="AU36" s="41"/>
      <c r="AV36" s="41"/>
      <c r="AW36" s="41"/>
      <c r="BA36" s="41"/>
      <c r="BB36" s="41"/>
      <c r="BC36" s="41"/>
      <c r="BD36" s="41"/>
      <c r="BE36" s="41"/>
      <c r="BF36" s="41"/>
      <c r="BG36" s="41"/>
      <c r="BI36" s="41"/>
      <c r="BJ36" s="41"/>
      <c r="BK36" s="41"/>
      <c r="BL36" s="41"/>
    </row>
    <row r="37" spans="1:64" ht="13.5" customHeight="1">
      <c r="A37" s="41" t="s">
        <v>34</v>
      </c>
      <c r="B37" s="41">
        <f>VLOOKUP(C37,'Input Data'!$C$2:$D$38,2,FALSE)</f>
        <v>17</v>
      </c>
      <c r="C37" s="41" t="s">
        <v>12</v>
      </c>
      <c r="D37" s="150">
        <v>3100000</v>
      </c>
      <c r="E37" s="150">
        <v>680000</v>
      </c>
      <c r="F37" s="150">
        <v>460000</v>
      </c>
      <c r="G37" s="150">
        <v>1960000</v>
      </c>
      <c r="H37" s="150">
        <f>J37*450</f>
        <v>903600</v>
      </c>
      <c r="I37" s="5">
        <v>330344</v>
      </c>
      <c r="J37" s="5">
        <v>2008</v>
      </c>
      <c r="K37" s="201">
        <v>928</v>
      </c>
      <c r="L37" s="201">
        <v>463</v>
      </c>
      <c r="M37" s="201">
        <f>(K37-L37)+(L37*7/12)</f>
        <v>735.0833333333333</v>
      </c>
      <c r="N37" s="217">
        <f>442*I37/5280</f>
        <v>27653.79696969697</v>
      </c>
      <c r="O37" s="217">
        <f>J37*17</f>
        <v>34136</v>
      </c>
      <c r="P37" s="217">
        <f>39*K37</f>
        <v>36192</v>
      </c>
      <c r="Q37" s="217">
        <v>28800</v>
      </c>
      <c r="R37" s="217">
        <f>(N37+O37+P37+Q37)*1.1</f>
        <v>139459.97666666668</v>
      </c>
      <c r="S37" s="217">
        <f>R37/12/($V$3*M37)</f>
        <v>31.619992442277905</v>
      </c>
      <c r="T37" s="24">
        <f>$S$3*$T$3+$S$4*$T$4+$S$5*$T$5</f>
        <v>59</v>
      </c>
      <c r="U37" s="72">
        <f t="shared" si="29"/>
        <v>393.5545114196486</v>
      </c>
      <c r="V37" s="73">
        <f>U37/M37</f>
        <v>0.5353876133132053</v>
      </c>
      <c r="W37" s="81">
        <f>(M37/$M$56)*$W$56</f>
        <v>18753.68788131121</v>
      </c>
      <c r="Y37" s="286">
        <f t="shared" si="31"/>
        <v>371.299192403266</v>
      </c>
      <c r="Z37" s="79">
        <f>Y37/M37</f>
        <v>0.5051117003558772</v>
      </c>
      <c r="AA37" s="85">
        <f>(M37/$M$56)*$AA$56</f>
        <v>26560.27288131119</v>
      </c>
      <c r="AC37" s="218">
        <f>0.03*(D37-F37-H37)</f>
        <v>52092</v>
      </c>
      <c r="AD37" s="55">
        <f>(AC37/(M37*$V$3))/12</f>
        <v>11.810905792993992</v>
      </c>
      <c r="AE37" s="55">
        <f>T37+AD37</f>
        <v>70.81090579299399</v>
      </c>
      <c r="AF37" s="102">
        <f>((AC37/'Assessed Value'!E21)*'Assessed Value'!G21)/12</f>
        <v>4.5003862067405835</v>
      </c>
      <c r="AH37" s="107">
        <f>'Debt Service'!K101</f>
        <v>139377.77777777778</v>
      </c>
      <c r="AI37" s="107">
        <f>AH37/(12*$V$3*M37)</f>
        <v>31.60135535149706</v>
      </c>
      <c r="AJ37" s="107">
        <f>T37+AI37</f>
        <v>90.60135535149706</v>
      </c>
      <c r="AK37" s="107">
        <f>((AH37/'Assessed Value'!E21)*'Assessed Value'!G21)/12</f>
        <v>12.041269842533696</v>
      </c>
      <c r="AL37" s="157">
        <f>(AH37/'Assessed Value'!E21)*1000</f>
        <v>0.2764086334231453</v>
      </c>
      <c r="AN37" s="58">
        <f>(((AH37+AC37)/'Assessed Value'!E21)*'Assessed Value'!G21)/12</f>
        <v>16.541656049274277</v>
      </c>
      <c r="AO37" s="58">
        <f>T37+AD37+AI37</f>
        <v>102.41226114449105</v>
      </c>
      <c r="AP37" s="58">
        <f>T37</f>
        <v>59</v>
      </c>
      <c r="AU37" s="41"/>
      <c r="AV37" s="41"/>
      <c r="AW37" s="41"/>
      <c r="BA37" s="41"/>
      <c r="BB37" s="41"/>
      <c r="BC37" s="41"/>
      <c r="BD37" s="41"/>
      <c r="BE37" s="41"/>
      <c r="BF37" s="41"/>
      <c r="BG37" s="41"/>
      <c r="BI37" s="41"/>
      <c r="BJ37" s="41"/>
      <c r="BK37" s="41"/>
      <c r="BL37" s="41"/>
    </row>
    <row r="38" spans="1:64" ht="13.5" customHeight="1">
      <c r="A38" s="41" t="s">
        <v>34</v>
      </c>
      <c r="B38" s="41">
        <f>VLOOKUP(C38,'Input Data'!$C$2:$D$38,2,FALSE)</f>
        <v>28</v>
      </c>
      <c r="C38" s="41" t="s">
        <v>19</v>
      </c>
      <c r="D38" s="150">
        <v>3610000</v>
      </c>
      <c r="E38" s="150">
        <v>620000</v>
      </c>
      <c r="F38" s="150">
        <v>610000</v>
      </c>
      <c r="G38" s="150">
        <v>2380000</v>
      </c>
      <c r="H38" s="150">
        <f>J38*450</f>
        <v>792900</v>
      </c>
      <c r="I38" s="5">
        <v>376125</v>
      </c>
      <c r="J38" s="5">
        <v>1762</v>
      </c>
      <c r="K38" s="201">
        <v>671</v>
      </c>
      <c r="L38" s="201">
        <v>270</v>
      </c>
      <c r="M38" s="201">
        <f>(K38-L38)+(L38*7/12)</f>
        <v>558.5</v>
      </c>
      <c r="N38" s="217">
        <f>442*I38/5280</f>
        <v>31486.221590909092</v>
      </c>
      <c r="O38" s="217">
        <f>J38*17</f>
        <v>29954</v>
      </c>
      <c r="P38" s="217">
        <f>39*K38</f>
        <v>26169</v>
      </c>
      <c r="Q38" s="217">
        <v>28800</v>
      </c>
      <c r="R38" s="217">
        <f>(N38+O38+P38+Q38)*1.1</f>
        <v>128050.14375</v>
      </c>
      <c r="S38" s="217">
        <f>R38/12/($V$3*M38)</f>
        <v>38.212516786034016</v>
      </c>
      <c r="T38" s="24">
        <f>$S$3*$T$3+$S$4*$T$4+$S$5*$T$5</f>
        <v>59</v>
      </c>
      <c r="U38" s="72">
        <f t="shared" si="29"/>
        <v>361.35608914663055</v>
      </c>
      <c r="V38" s="73">
        <f>U38/M38</f>
        <v>0.6470117979348802</v>
      </c>
      <c r="W38" s="81">
        <f>(M38/$M$56)*$W$56</f>
        <v>14248.635776051211</v>
      </c>
      <c r="Y38" s="286">
        <f t="shared" si="31"/>
        <v>340.92157547923324</v>
      </c>
      <c r="Z38" s="79">
        <f>Y38/M38</f>
        <v>0.6104235908312144</v>
      </c>
      <c r="AA38" s="85">
        <f>(M38/$M$56)*$AA$56</f>
        <v>20179.9057760512</v>
      </c>
      <c r="AC38" s="218">
        <f>0.03*(D38-F38-H38)</f>
        <v>66213</v>
      </c>
      <c r="AD38" s="55">
        <f>(AC38/(M38*$V$3))/12</f>
        <v>19.7591763652641</v>
      </c>
      <c r="AE38" s="55">
        <f>T38+AD38</f>
        <v>78.7591763652641</v>
      </c>
      <c r="AF38" s="102">
        <f>((AC38/'Assessed Value'!E22)*'Assessed Value'!G22)/12</f>
        <v>7.3947998818082175</v>
      </c>
      <c r="AH38" s="107">
        <f>'Debt Service'!K165</f>
        <v>169244.44444444444</v>
      </c>
      <c r="AI38" s="107">
        <f>AH38/(12*$V$3*M38)</f>
        <v>50.505653370469844</v>
      </c>
      <c r="AJ38" s="107">
        <f>T38+AI38</f>
        <v>109.50565337046984</v>
      </c>
      <c r="AK38" s="107">
        <f>((AH38/'Assessed Value'!E22)*'Assessed Value'!G22)/12</f>
        <v>18.901557062426942</v>
      </c>
      <c r="AL38" s="157">
        <f>(AH38/'Assessed Value'!E22)*1000</f>
        <v>0.783158436141439</v>
      </c>
      <c r="AN38" s="58">
        <f>(((AH38+AC38)/'Assessed Value'!E22)*'Assessed Value'!G22)/12</f>
        <v>26.29635694423516</v>
      </c>
      <c r="AO38" s="58">
        <f>T38+AD38+AI38</f>
        <v>129.26482973573394</v>
      </c>
      <c r="AP38" s="58">
        <f>T38</f>
        <v>59</v>
      </c>
      <c r="AU38" s="41"/>
      <c r="AV38" s="41"/>
      <c r="AW38" s="41"/>
      <c r="BA38" s="41"/>
      <c r="BB38" s="41"/>
      <c r="BC38" s="41"/>
      <c r="BD38" s="41"/>
      <c r="BE38" s="41"/>
      <c r="BF38" s="41"/>
      <c r="BG38" s="41"/>
      <c r="BI38" s="41"/>
      <c r="BJ38" s="41"/>
      <c r="BK38" s="41"/>
      <c r="BL38" s="41"/>
    </row>
    <row r="39" spans="1:64" ht="13.5" customHeight="1">
      <c r="A39" s="41" t="s">
        <v>34</v>
      </c>
      <c r="B39" s="41">
        <f>VLOOKUP(C39,'Input Data'!$C$2:$D$38,2,FALSE)</f>
        <v>31</v>
      </c>
      <c r="C39" s="41" t="s">
        <v>21</v>
      </c>
      <c r="D39" s="150">
        <v>2650000</v>
      </c>
      <c r="E39" s="150">
        <v>430000</v>
      </c>
      <c r="F39" s="150">
        <v>400000</v>
      </c>
      <c r="G39" s="150">
        <v>1820000</v>
      </c>
      <c r="H39" s="150">
        <f t="shared" si="23"/>
        <v>275850</v>
      </c>
      <c r="I39" s="5">
        <v>137234</v>
      </c>
      <c r="J39" s="5">
        <v>613</v>
      </c>
      <c r="K39" s="5">
        <v>510</v>
      </c>
      <c r="L39" s="5">
        <v>288</v>
      </c>
      <c r="M39" s="201">
        <f t="shared" si="24"/>
        <v>390</v>
      </c>
      <c r="N39" s="217">
        <f t="shared" si="25"/>
        <v>11488.149242424242</v>
      </c>
      <c r="O39" s="217">
        <f t="shared" si="26"/>
        <v>10421</v>
      </c>
      <c r="P39" s="217">
        <f t="shared" si="38"/>
        <v>19890</v>
      </c>
      <c r="Q39" s="217">
        <v>28800</v>
      </c>
      <c r="R39" s="217">
        <f t="shared" si="27"/>
        <v>77659.06416666668</v>
      </c>
      <c r="S39" s="217">
        <f t="shared" si="10"/>
        <v>33.18763425925926</v>
      </c>
      <c r="T39" s="24">
        <f t="shared" si="28"/>
        <v>59</v>
      </c>
      <c r="U39" s="72">
        <f t="shared" si="29"/>
        <v>219.15301999849495</v>
      </c>
      <c r="V39" s="73">
        <f t="shared" si="30"/>
        <v>0.5619308205089614</v>
      </c>
      <c r="W39" s="81">
        <f aca="true" t="shared" si="39" ref="W39:W48">(M39/$M$57)*$W$57</f>
        <v>11350.388379886288</v>
      </c>
      <c r="Y39" s="286">
        <f t="shared" si="31"/>
        <v>206.76002174298904</v>
      </c>
      <c r="Z39" s="79">
        <f t="shared" si="32"/>
        <v>0.5301539019051001</v>
      </c>
      <c r="AA39" s="85">
        <f aca="true" t="shared" si="40" ref="AA39:AA48">(M39/$M$57)*$AA$57</f>
        <v>12356.588379886261</v>
      </c>
      <c r="AC39" s="218">
        <f t="shared" si="33"/>
        <v>59224.5</v>
      </c>
      <c r="AD39" s="55">
        <f t="shared" si="14"/>
        <v>25.309615384615384</v>
      </c>
      <c r="AE39" s="55">
        <f t="shared" si="34"/>
        <v>84.30961538461538</v>
      </c>
      <c r="AF39" s="102">
        <f>((AC39/'Assessed Value'!E29)*'Assessed Value'!G29)/12</f>
        <v>8.686250002198227</v>
      </c>
      <c r="AH39" s="107">
        <f>'Debt Service'!K181</f>
        <v>129422.22222222222</v>
      </c>
      <c r="AI39" s="107">
        <f t="shared" si="16"/>
        <v>55.30864197530864</v>
      </c>
      <c r="AJ39" s="107">
        <f t="shared" si="35"/>
        <v>114.30864197530863</v>
      </c>
      <c r="AK39" s="107">
        <f>((AH39/'Assessed Value'!E29)*'Assessed Value'!G29)/12</f>
        <v>18.981904077911622</v>
      </c>
      <c r="AL39" s="157">
        <f>(AH39/'Assessed Value'!E29)*1000</f>
        <v>0.6947727399232598</v>
      </c>
      <c r="AN39" s="58">
        <f>(((AH39+AC39)/'Assessed Value'!E29)*'Assessed Value'!G29)/12</f>
        <v>27.668154080109844</v>
      </c>
      <c r="AO39" s="58">
        <f t="shared" si="36"/>
        <v>139.61825735992403</v>
      </c>
      <c r="AP39" s="58">
        <f t="shared" si="37"/>
        <v>59</v>
      </c>
      <c r="AU39" s="41"/>
      <c r="AV39" s="41"/>
      <c r="AW39" s="41"/>
      <c r="BA39" s="41"/>
      <c r="BB39" s="41"/>
      <c r="BC39" s="41"/>
      <c r="BD39" s="41"/>
      <c r="BE39" s="41"/>
      <c r="BF39" s="41"/>
      <c r="BG39" s="41"/>
      <c r="BI39" s="41"/>
      <c r="BJ39" s="41"/>
      <c r="BK39" s="41"/>
      <c r="BL39" s="41"/>
    </row>
    <row r="40" spans="1:64" ht="13.5" customHeight="1">
      <c r="A40" s="41" t="s">
        <v>34</v>
      </c>
      <c r="B40" s="41">
        <f>VLOOKUP(C40,'Input Data'!$C$2:$D$38,2,FALSE)</f>
        <v>32</v>
      </c>
      <c r="C40" s="41" t="s">
        <v>90</v>
      </c>
      <c r="D40" s="227">
        <v>1380000</v>
      </c>
      <c r="E40" s="227">
        <v>220000</v>
      </c>
      <c r="F40" s="227">
        <v>260000</v>
      </c>
      <c r="G40" s="228">
        <f>+F40+E40+D40</f>
        <v>1860000</v>
      </c>
      <c r="H40" s="150">
        <f t="shared" si="23"/>
        <v>337500</v>
      </c>
      <c r="I40" s="5">
        <v>125488</v>
      </c>
      <c r="J40" s="5">
        <v>750</v>
      </c>
      <c r="K40" s="5">
        <v>280</v>
      </c>
      <c r="L40" s="5">
        <v>131</v>
      </c>
      <c r="M40" s="201">
        <f t="shared" si="24"/>
        <v>225.41666666666669</v>
      </c>
      <c r="N40" s="217">
        <f t="shared" si="25"/>
        <v>10504.866666666667</v>
      </c>
      <c r="O40" s="217">
        <f t="shared" si="26"/>
        <v>12750</v>
      </c>
      <c r="P40" s="217">
        <f t="shared" si="38"/>
        <v>10920</v>
      </c>
      <c r="Q40" s="217">
        <v>28800</v>
      </c>
      <c r="R40" s="217">
        <f t="shared" si="27"/>
        <v>69272.35333333335</v>
      </c>
      <c r="S40" s="217">
        <f t="shared" si="10"/>
        <v>51.21800616142946</v>
      </c>
      <c r="T40" s="24">
        <f t="shared" si="28"/>
        <v>59</v>
      </c>
      <c r="U40" s="72">
        <f t="shared" si="29"/>
        <v>195.48581480227267</v>
      </c>
      <c r="V40" s="73">
        <f t="shared" si="30"/>
        <v>0.8672198808233907</v>
      </c>
      <c r="W40" s="81">
        <f t="shared" si="39"/>
        <v>6560.42747170778</v>
      </c>
      <c r="Y40" s="286">
        <f t="shared" si="31"/>
        <v>184.43118565850202</v>
      </c>
      <c r="Z40" s="79">
        <f t="shared" si="32"/>
        <v>0.8181790121634099</v>
      </c>
      <c r="AA40" s="85">
        <f t="shared" si="40"/>
        <v>7142.002471707766</v>
      </c>
      <c r="AC40" s="218">
        <f t="shared" si="33"/>
        <v>23475</v>
      </c>
      <c r="AD40" s="55">
        <f t="shared" si="14"/>
        <v>17.356746765249536</v>
      </c>
      <c r="AE40" s="55">
        <f t="shared" si="34"/>
        <v>76.35674676524954</v>
      </c>
      <c r="AF40" s="102">
        <f>((AC40/'Assessed Value'!E30)*'Assessed Value'!G30)/12</f>
        <v>5.81474516188374</v>
      </c>
      <c r="AH40" s="107">
        <f>'Debt Service'!K182</f>
        <v>43875</v>
      </c>
      <c r="AI40" s="107">
        <f t="shared" si="16"/>
        <v>32.43992606284658</v>
      </c>
      <c r="AJ40" s="107">
        <f t="shared" si="35"/>
        <v>91.43992606284658</v>
      </c>
      <c r="AK40" s="107">
        <f>((AH40/'Assessed Value'!E30)*'Assessed Value'!G30)/12</f>
        <v>10.867814439942455</v>
      </c>
      <c r="AL40" s="157">
        <f>(AH40/'Assessed Value'!E30)*1000</f>
        <v>0.2278242259376596</v>
      </c>
      <c r="AN40" s="58">
        <f>(((AH40+AC40)/'Assessed Value'!E30)*'Assessed Value'!G30)/12</f>
        <v>16.682559601826192</v>
      </c>
      <c r="AO40" s="58">
        <f t="shared" si="36"/>
        <v>108.79667282809612</v>
      </c>
      <c r="AP40" s="58">
        <f t="shared" si="37"/>
        <v>59</v>
      </c>
      <c r="AU40" s="41"/>
      <c r="AV40" s="41"/>
      <c r="AW40" s="41"/>
      <c r="BA40" s="41"/>
      <c r="BB40" s="41"/>
      <c r="BC40" s="41"/>
      <c r="BD40" s="41"/>
      <c r="BE40" s="41"/>
      <c r="BF40" s="41"/>
      <c r="BG40" s="41"/>
      <c r="BI40" s="41"/>
      <c r="BJ40" s="41"/>
      <c r="BK40" s="41"/>
      <c r="BL40" s="41"/>
    </row>
    <row r="41" spans="1:64" ht="13.5" customHeight="1">
      <c r="A41" s="41" t="s">
        <v>34</v>
      </c>
      <c r="B41" s="41">
        <f>VLOOKUP(C41,'Input Data'!$C$2:$D$38,2,FALSE)</f>
        <v>33</v>
      </c>
      <c r="C41" s="41" t="s">
        <v>22</v>
      </c>
      <c r="D41" s="150">
        <v>2480000</v>
      </c>
      <c r="E41" s="150">
        <v>450000</v>
      </c>
      <c r="F41" s="150">
        <v>420000</v>
      </c>
      <c r="G41" s="150">
        <v>1610000</v>
      </c>
      <c r="H41" s="150">
        <f t="shared" si="23"/>
        <v>706500</v>
      </c>
      <c r="I41" s="5">
        <v>258480</v>
      </c>
      <c r="J41" s="5">
        <v>1570</v>
      </c>
      <c r="K41" s="201">
        <v>426</v>
      </c>
      <c r="L41" s="201">
        <v>63</v>
      </c>
      <c r="M41" s="201">
        <f t="shared" si="24"/>
        <v>399.75</v>
      </c>
      <c r="N41" s="217">
        <f t="shared" si="25"/>
        <v>21637.909090909092</v>
      </c>
      <c r="O41" s="217">
        <f t="shared" si="26"/>
        <v>26690</v>
      </c>
      <c r="P41" s="217">
        <f t="shared" si="38"/>
        <v>16614</v>
      </c>
      <c r="Q41" s="217">
        <v>28800</v>
      </c>
      <c r="R41" s="217">
        <f t="shared" si="27"/>
        <v>103116.1</v>
      </c>
      <c r="S41" s="217">
        <f t="shared" si="10"/>
        <v>42.99191161142381</v>
      </c>
      <c r="T41" s="24">
        <f t="shared" si="28"/>
        <v>59</v>
      </c>
      <c r="U41" s="72">
        <f t="shared" si="29"/>
        <v>290.99249350942546</v>
      </c>
      <c r="V41" s="73">
        <f t="shared" si="30"/>
        <v>0.7279361938947478</v>
      </c>
      <c r="W41" s="81">
        <f t="shared" si="39"/>
        <v>11634.148089383445</v>
      </c>
      <c r="Y41" s="286">
        <f t="shared" si="31"/>
        <v>274.5370074547391</v>
      </c>
      <c r="Z41" s="79">
        <f t="shared" si="32"/>
        <v>0.686771750981211</v>
      </c>
      <c r="AA41" s="85">
        <f t="shared" si="40"/>
        <v>12665.50308938342</v>
      </c>
      <c r="AC41" s="218">
        <f t="shared" si="33"/>
        <v>40605</v>
      </c>
      <c r="AD41" s="55">
        <f t="shared" si="14"/>
        <v>16.929330831769857</v>
      </c>
      <c r="AE41" s="55">
        <f t="shared" si="34"/>
        <v>75.92933083176986</v>
      </c>
      <c r="AF41" s="102">
        <f>((AC41/'Assessed Value'!E31)*'Assessed Value'!G31)/12</f>
        <v>7.437154103850189</v>
      </c>
      <c r="AH41" s="107">
        <f>'Debt Service'!K197</f>
        <v>114488.88888888888</v>
      </c>
      <c r="AI41" s="107">
        <f t="shared" si="16"/>
        <v>47.73353716443147</v>
      </c>
      <c r="AJ41" s="107">
        <f t="shared" si="35"/>
        <v>106.73353716443147</v>
      </c>
      <c r="AK41" s="107">
        <f>((AH41/'Assessed Value'!E31)*'Assessed Value'!G31)/12</f>
        <v>20.9696222102019</v>
      </c>
      <c r="AL41" s="157">
        <f>(AH41/'Assessed Value'!E31)*1000</f>
        <v>1.5295952483741146</v>
      </c>
      <c r="AN41" s="58">
        <f>(((AH41+AC41)/'Assessed Value'!E31)*'Assessed Value'!G31)/12</f>
        <v>28.406776314052085</v>
      </c>
      <c r="AO41" s="58">
        <f t="shared" si="36"/>
        <v>123.66286799620133</v>
      </c>
      <c r="AP41" s="58">
        <f t="shared" si="37"/>
        <v>59</v>
      </c>
      <c r="AU41" s="41"/>
      <c r="AV41" s="41"/>
      <c r="AW41" s="41"/>
      <c r="BA41" s="41"/>
      <c r="BB41" s="41"/>
      <c r="BC41" s="41"/>
      <c r="BD41" s="41"/>
      <c r="BE41" s="41"/>
      <c r="BF41" s="41"/>
      <c r="BG41" s="41"/>
      <c r="BI41" s="41"/>
      <c r="BJ41" s="41"/>
      <c r="BK41" s="41"/>
      <c r="BL41" s="41"/>
    </row>
    <row r="42" spans="1:64" ht="13.5" customHeight="1">
      <c r="A42" s="41" t="s">
        <v>34</v>
      </c>
      <c r="B42" s="41">
        <f>VLOOKUP(C42,'Input Data'!$C$2:$D$38,2,FALSE)</f>
        <v>1</v>
      </c>
      <c r="C42" s="41" t="s">
        <v>137</v>
      </c>
      <c r="D42" s="150">
        <v>1310000</v>
      </c>
      <c r="E42" s="150">
        <v>270000</v>
      </c>
      <c r="F42" s="150">
        <v>210000</v>
      </c>
      <c r="G42" s="150">
        <v>830000</v>
      </c>
      <c r="H42" s="150">
        <f t="shared" si="23"/>
        <v>353250</v>
      </c>
      <c r="I42" s="5">
        <v>138608</v>
      </c>
      <c r="J42" s="5">
        <v>785</v>
      </c>
      <c r="K42" s="201">
        <v>342</v>
      </c>
      <c r="L42" s="201">
        <v>111</v>
      </c>
      <c r="M42" s="201">
        <f t="shared" si="24"/>
        <v>295.75</v>
      </c>
      <c r="N42" s="217">
        <f t="shared" si="25"/>
        <v>11603.169696969697</v>
      </c>
      <c r="O42" s="217">
        <f t="shared" si="26"/>
        <v>13345</v>
      </c>
      <c r="P42" s="217">
        <f t="shared" si="38"/>
        <v>13338</v>
      </c>
      <c r="Q42" s="217">
        <v>28800</v>
      </c>
      <c r="R42" s="217">
        <f aca="true" t="shared" si="41" ref="R42:R52">(N42+O42+P42+Q42)*1.1</f>
        <v>73794.78666666667</v>
      </c>
      <c r="S42" s="217">
        <f t="shared" si="10"/>
        <v>41.58624213393444</v>
      </c>
      <c r="T42" s="24">
        <f t="shared" si="28"/>
        <v>59</v>
      </c>
      <c r="U42" s="72">
        <f t="shared" si="29"/>
        <v>208.2480716408925</v>
      </c>
      <c r="V42" s="73">
        <f aca="true" t="shared" si="42" ref="V42:V52">U42/M42</f>
        <v>0.7041354916006509</v>
      </c>
      <c r="W42" s="81">
        <f t="shared" si="39"/>
        <v>8607.377854747101</v>
      </c>
      <c r="Y42" s="286">
        <f t="shared" si="31"/>
        <v>196.4717429889954</v>
      </c>
      <c r="Z42" s="79">
        <f aca="true" t="shared" si="43" ref="Z42:Z52">Y42/M42</f>
        <v>0.6643169669957579</v>
      </c>
      <c r="AA42" s="85">
        <f t="shared" si="40"/>
        <v>9370.412854747081</v>
      </c>
      <c r="AC42" s="218">
        <f t="shared" si="33"/>
        <v>22402.5</v>
      </c>
      <c r="AD42" s="55">
        <f t="shared" si="14"/>
        <v>12.624683009298394</v>
      </c>
      <c r="AE42" s="55">
        <f aca="true" t="shared" si="44" ref="AE42:AE52">T42+AD42</f>
        <v>71.6246830092984</v>
      </c>
      <c r="AF42" s="102">
        <f>((AC42/'Assessed Value'!E32)*'Assessed Value'!G32)/12</f>
        <v>5.331395188993675</v>
      </c>
      <c r="AH42" s="107">
        <f>'Debt Service'!K245</f>
        <v>59022.22222222222</v>
      </c>
      <c r="AI42" s="107">
        <f t="shared" si="16"/>
        <v>33.26132556901788</v>
      </c>
      <c r="AJ42" s="107">
        <f aca="true" t="shared" si="45" ref="AJ42:AJ52">T42+AI42</f>
        <v>92.26132556901788</v>
      </c>
      <c r="AK42" s="107">
        <f>((AH42/'Assessed Value'!E32)*'Assessed Value'!G32)/12</f>
        <v>14.046235536179937</v>
      </c>
      <c r="AL42" s="157">
        <f>(AH42/'Assessed Value'!E32)*1000</f>
        <v>0.2140992320639008</v>
      </c>
      <c r="AN42" s="58">
        <f>(((AH42+AC42)/'Assessed Value'!E32)*'Assessed Value'!G32)/12</f>
        <v>19.377630725173614</v>
      </c>
      <c r="AO42" s="58">
        <f aca="true" t="shared" si="46" ref="AO42:AO52">T42+AD42+AI42</f>
        <v>104.88600857831628</v>
      </c>
      <c r="AP42" s="58">
        <f aca="true" t="shared" si="47" ref="AP42:AP52">T42</f>
        <v>59</v>
      </c>
      <c r="AU42" s="41"/>
      <c r="AV42" s="41"/>
      <c r="AW42" s="41"/>
      <c r="BA42" s="41"/>
      <c r="BB42" s="41"/>
      <c r="BC42" s="41"/>
      <c r="BD42" s="41"/>
      <c r="BE42" s="41"/>
      <c r="BF42" s="41"/>
      <c r="BG42" s="41"/>
      <c r="BI42" s="41"/>
      <c r="BJ42" s="41"/>
      <c r="BK42" s="41"/>
      <c r="BL42" s="41"/>
    </row>
    <row r="43" spans="1:64" ht="13.5" customHeight="1">
      <c r="A43" s="41" t="s">
        <v>34</v>
      </c>
      <c r="B43" s="41">
        <f>VLOOKUP(C43,'Input Data'!$C$2:$D$38,2,FALSE)</f>
        <v>10</v>
      </c>
      <c r="C43" s="41" t="s">
        <v>138</v>
      </c>
      <c r="D43" s="150">
        <v>1700000</v>
      </c>
      <c r="E43" s="150">
        <v>350000</v>
      </c>
      <c r="F43" s="150">
        <v>290000</v>
      </c>
      <c r="G43" s="150">
        <v>1060000</v>
      </c>
      <c r="H43" s="150">
        <f t="shared" si="23"/>
        <v>498600</v>
      </c>
      <c r="I43" s="5">
        <v>197170</v>
      </c>
      <c r="J43" s="5">
        <v>1108</v>
      </c>
      <c r="K43" s="201">
        <v>356</v>
      </c>
      <c r="L43" s="201">
        <v>21</v>
      </c>
      <c r="M43" s="201">
        <f t="shared" si="24"/>
        <v>347.25</v>
      </c>
      <c r="N43" s="217">
        <f t="shared" si="25"/>
        <v>16505.51893939394</v>
      </c>
      <c r="O43" s="217">
        <f t="shared" si="26"/>
        <v>18836</v>
      </c>
      <c r="P43" s="217">
        <f t="shared" si="38"/>
        <v>13884</v>
      </c>
      <c r="Q43" s="217">
        <v>28800</v>
      </c>
      <c r="R43" s="217">
        <f t="shared" si="41"/>
        <v>85828.07083333333</v>
      </c>
      <c r="S43" s="217">
        <f t="shared" si="10"/>
        <v>41.19417846572274</v>
      </c>
      <c r="T43" s="24">
        <f t="shared" si="28"/>
        <v>59</v>
      </c>
      <c r="U43" s="72">
        <f t="shared" si="29"/>
        <v>242.2058664446702</v>
      </c>
      <c r="V43" s="73">
        <f t="shared" si="42"/>
        <v>0.6974970955930028</v>
      </c>
      <c r="W43" s="81">
        <f t="shared" si="39"/>
        <v>10106.21119209106</v>
      </c>
      <c r="Y43" s="286">
        <f t="shared" si="31"/>
        <v>228.50924077032306</v>
      </c>
      <c r="Z43" s="79">
        <f t="shared" si="43"/>
        <v>0.6580539691010023</v>
      </c>
      <c r="AA43" s="85">
        <f t="shared" si="40"/>
        <v>11002.116192091038</v>
      </c>
      <c r="AC43" s="218">
        <f t="shared" si="33"/>
        <v>27342</v>
      </c>
      <c r="AD43" s="55">
        <f t="shared" si="14"/>
        <v>13.123110151187904</v>
      </c>
      <c r="AE43" s="55">
        <f t="shared" si="44"/>
        <v>72.1231101511879</v>
      </c>
      <c r="AF43" s="102">
        <f>((AC43/'Assessed Value'!E33)*'Assessed Value'!G33)/12</f>
        <v>3.080564579120112</v>
      </c>
      <c r="AH43" s="107">
        <f>'Debt Service'!K253</f>
        <v>75377.77777777778</v>
      </c>
      <c r="AI43" s="107">
        <f t="shared" si="16"/>
        <v>36.17843905820868</v>
      </c>
      <c r="AJ43" s="107">
        <f t="shared" si="45"/>
        <v>95.17843905820868</v>
      </c>
      <c r="AK43" s="107">
        <f>((AH43/'Assessed Value'!E33)*'Assessed Value'!G33)/12</f>
        <v>8.492652778692465</v>
      </c>
      <c r="AL43" s="157">
        <f>(AH43/'Assessed Value'!E33)*1000</f>
        <v>0.6033771431388679</v>
      </c>
      <c r="AN43" s="58">
        <f>(((AH43+AC43)/'Assessed Value'!E33)*'Assessed Value'!G33)/12</f>
        <v>11.573217357812576</v>
      </c>
      <c r="AO43" s="58">
        <f t="shared" si="46"/>
        <v>108.30154920939658</v>
      </c>
      <c r="AP43" s="58">
        <f t="shared" si="47"/>
        <v>59</v>
      </c>
      <c r="AU43" s="41"/>
      <c r="AV43" s="41"/>
      <c r="AW43" s="41"/>
      <c r="BA43" s="41"/>
      <c r="BB43" s="41"/>
      <c r="BC43" s="41"/>
      <c r="BD43" s="41"/>
      <c r="BE43" s="41"/>
      <c r="BF43" s="41"/>
      <c r="BG43" s="41"/>
      <c r="BI43" s="41"/>
      <c r="BJ43" s="41"/>
      <c r="BK43" s="41"/>
      <c r="BL43" s="41"/>
    </row>
    <row r="44" spans="1:64" ht="13.5" customHeight="1">
      <c r="A44" s="41" t="s">
        <v>34</v>
      </c>
      <c r="B44" s="41">
        <f>VLOOKUP(C44,'Input Data'!$C$2:$D$38,2,FALSE)</f>
        <v>12</v>
      </c>
      <c r="C44" s="41" t="s">
        <v>139</v>
      </c>
      <c r="D44" s="150">
        <v>1540000</v>
      </c>
      <c r="E44" s="150">
        <v>250000</v>
      </c>
      <c r="F44" s="150">
        <v>270000</v>
      </c>
      <c r="G44" s="150">
        <v>1020000</v>
      </c>
      <c r="H44" s="150">
        <f t="shared" si="23"/>
        <v>374850</v>
      </c>
      <c r="I44" s="5">
        <v>152975</v>
      </c>
      <c r="J44" s="5">
        <v>833</v>
      </c>
      <c r="K44" s="201">
        <v>198</v>
      </c>
      <c r="L44" s="201">
        <v>61</v>
      </c>
      <c r="M44" s="201">
        <f t="shared" si="24"/>
        <v>172.58333333333334</v>
      </c>
      <c r="N44" s="217">
        <f t="shared" si="25"/>
        <v>12805.861742424242</v>
      </c>
      <c r="O44" s="217">
        <f t="shared" si="26"/>
        <v>14161</v>
      </c>
      <c r="P44" s="217">
        <f t="shared" si="38"/>
        <v>7722</v>
      </c>
      <c r="Q44" s="217">
        <v>28800</v>
      </c>
      <c r="R44" s="217">
        <f t="shared" si="41"/>
        <v>69837.74791666667</v>
      </c>
      <c r="S44" s="217">
        <f t="shared" si="10"/>
        <v>67.4435035409625</v>
      </c>
      <c r="T44" s="24">
        <f t="shared" si="28"/>
        <v>59</v>
      </c>
      <c r="U44" s="72">
        <f t="shared" si="29"/>
        <v>197.08135206193327</v>
      </c>
      <c r="V44" s="73">
        <f t="shared" si="42"/>
        <v>1.141948925515789</v>
      </c>
      <c r="W44" s="81">
        <f t="shared" si="39"/>
        <v>5022.78938776592</v>
      </c>
      <c r="Y44" s="286">
        <f t="shared" si="31"/>
        <v>185.93649605076325</v>
      </c>
      <c r="Z44" s="79">
        <f t="shared" si="43"/>
        <v>1.0773722610377396</v>
      </c>
      <c r="AA44" s="85">
        <f t="shared" si="40"/>
        <v>5468.054387765908</v>
      </c>
      <c r="AC44" s="218">
        <f t="shared" si="33"/>
        <v>26854.5</v>
      </c>
      <c r="AD44" s="55">
        <f t="shared" si="14"/>
        <v>25.933848382423946</v>
      </c>
      <c r="AE44" s="55">
        <f t="shared" si="44"/>
        <v>84.93384838242395</v>
      </c>
      <c r="AF44" s="102">
        <f>((AC44/'Assessed Value'!E34)*'Assessed Value'!G34)/12</f>
        <v>10.168775055728483</v>
      </c>
      <c r="AH44" s="107">
        <f>'Debt Service'!K261</f>
        <v>72533.33333333333</v>
      </c>
      <c r="AI44" s="107">
        <f t="shared" si="16"/>
        <v>70.0466763238371</v>
      </c>
      <c r="AJ44" s="107">
        <f t="shared" si="45"/>
        <v>129.04667632383712</v>
      </c>
      <c r="AK44" s="107">
        <f>((AH44/'Assessed Value'!E34)*'Assessed Value'!G34)/12</f>
        <v>27.46560728030086</v>
      </c>
      <c r="AL44" s="157">
        <f>(AH44/'Assessed Value'!E34)*1000</f>
        <v>1.4018540253913</v>
      </c>
      <c r="AN44" s="58">
        <f>(((AH44+AC44)/'Assessed Value'!E34)*'Assessed Value'!G34)/12</f>
        <v>37.63438233602934</v>
      </c>
      <c r="AO44" s="58">
        <f t="shared" si="46"/>
        <v>154.98052470626106</v>
      </c>
      <c r="AP44" s="58">
        <f t="shared" si="47"/>
        <v>59</v>
      </c>
      <c r="AU44" s="41"/>
      <c r="AV44" s="41"/>
      <c r="AW44" s="41"/>
      <c r="BA44" s="41"/>
      <c r="BB44" s="41"/>
      <c r="BC44" s="41"/>
      <c r="BD44" s="41"/>
      <c r="BE44" s="41"/>
      <c r="BF44" s="41"/>
      <c r="BG44" s="41"/>
      <c r="BI44" s="41"/>
      <c r="BJ44" s="41"/>
      <c r="BK44" s="41"/>
      <c r="BL44" s="41"/>
    </row>
    <row r="45" spans="1:64" ht="13.5" customHeight="1">
      <c r="A45" s="41" t="s">
        <v>34</v>
      </c>
      <c r="B45" s="41">
        <f>VLOOKUP(C45,'Input Data'!$C$2:$D$38,2,FALSE)</f>
        <v>15</v>
      </c>
      <c r="C45" s="41" t="s">
        <v>140</v>
      </c>
      <c r="D45" s="150">
        <v>1590000</v>
      </c>
      <c r="E45" s="150">
        <v>310000</v>
      </c>
      <c r="F45" s="150">
        <v>270000</v>
      </c>
      <c r="G45" s="150">
        <v>1010000</v>
      </c>
      <c r="H45" s="150">
        <f t="shared" si="23"/>
        <v>351450</v>
      </c>
      <c r="I45" s="5">
        <v>165239</v>
      </c>
      <c r="J45" s="5">
        <v>781</v>
      </c>
      <c r="K45" s="201">
        <v>279</v>
      </c>
      <c r="L45" s="201">
        <v>49</v>
      </c>
      <c r="M45" s="201">
        <f t="shared" si="24"/>
        <v>258.5833333333333</v>
      </c>
      <c r="N45" s="217">
        <f t="shared" si="25"/>
        <v>13832.507196969696</v>
      </c>
      <c r="O45" s="217">
        <f t="shared" si="26"/>
        <v>13277</v>
      </c>
      <c r="P45" s="217">
        <f t="shared" si="38"/>
        <v>10881</v>
      </c>
      <c r="Q45" s="217">
        <v>28800</v>
      </c>
      <c r="R45" s="217">
        <f t="shared" si="41"/>
        <v>73469.55791666667</v>
      </c>
      <c r="S45" s="217">
        <f t="shared" si="10"/>
        <v>47.35388844129338</v>
      </c>
      <c r="T45" s="24">
        <f t="shared" si="28"/>
        <v>59</v>
      </c>
      <c r="U45" s="72">
        <f t="shared" si="29"/>
        <v>207.3302797061369</v>
      </c>
      <c r="V45" s="73">
        <f t="shared" si="42"/>
        <v>0.801792896059827</v>
      </c>
      <c r="W45" s="81">
        <f t="shared" si="39"/>
        <v>7525.6955433305875</v>
      </c>
      <c r="Y45" s="286">
        <f t="shared" si="31"/>
        <v>195.60585174831385</v>
      </c>
      <c r="Z45" s="79">
        <f t="shared" si="43"/>
        <v>0.7564518920334407</v>
      </c>
      <c r="AA45" s="85">
        <f t="shared" si="40"/>
        <v>8192.84054333057</v>
      </c>
      <c r="AC45" s="218">
        <f t="shared" si="33"/>
        <v>29056.5</v>
      </c>
      <c r="AD45" s="55">
        <f t="shared" si="14"/>
        <v>18.728005156300355</v>
      </c>
      <c r="AE45" s="55">
        <f t="shared" si="44"/>
        <v>77.72800515630036</v>
      </c>
      <c r="AF45" s="102">
        <f>((AC45/'Assessed Value'!E35)*'Assessed Value'!G35)/12</f>
        <v>7.97110627013016</v>
      </c>
      <c r="AH45" s="107">
        <f>'Debt Service'!K269</f>
        <v>71822.22222222222</v>
      </c>
      <c r="AI45" s="107">
        <f t="shared" si="16"/>
        <v>46.29211873813872</v>
      </c>
      <c r="AJ45" s="107">
        <f t="shared" si="45"/>
        <v>105.29211873813873</v>
      </c>
      <c r="AK45" s="107">
        <f>((AH45/'Assessed Value'!E35)*'Assessed Value'!G35)/12</f>
        <v>19.703080752679682</v>
      </c>
      <c r="AL45" s="157">
        <f>(AH45/'Assessed Value'!E35)*1000</f>
        <v>1.0841635583299944</v>
      </c>
      <c r="AN45" s="58">
        <f>(((AH45+AC45)/'Assessed Value'!E35)*'Assessed Value'!G35)/12</f>
        <v>27.674187022809843</v>
      </c>
      <c r="AO45" s="58">
        <f t="shared" si="46"/>
        <v>124.02012389443908</v>
      </c>
      <c r="AP45" s="58">
        <f t="shared" si="47"/>
        <v>59</v>
      </c>
      <c r="AU45" s="41"/>
      <c r="AV45" s="41"/>
      <c r="AW45" s="41"/>
      <c r="BA45" s="41"/>
      <c r="BB45" s="41"/>
      <c r="BC45" s="41"/>
      <c r="BD45" s="41"/>
      <c r="BE45" s="41"/>
      <c r="BF45" s="41"/>
      <c r="BG45" s="41"/>
      <c r="BI45" s="41"/>
      <c r="BJ45" s="41"/>
      <c r="BK45" s="41"/>
      <c r="BL45" s="41"/>
    </row>
    <row r="46" spans="1:64" ht="13.5" customHeight="1">
      <c r="A46" s="41" t="s">
        <v>34</v>
      </c>
      <c r="B46" s="41">
        <f>VLOOKUP(C46,'Input Data'!$C$2:$D$38,2,FALSE)</f>
        <v>16</v>
      </c>
      <c r="C46" s="41" t="s">
        <v>141</v>
      </c>
      <c r="D46" s="150">
        <v>1080000</v>
      </c>
      <c r="E46" s="150">
        <v>130000</v>
      </c>
      <c r="F46" s="150">
        <v>200000</v>
      </c>
      <c r="G46" s="150">
        <v>750000</v>
      </c>
      <c r="H46" s="150">
        <f t="shared" si="23"/>
        <v>126900</v>
      </c>
      <c r="I46" s="5">
        <v>61013</v>
      </c>
      <c r="J46" s="5">
        <v>282</v>
      </c>
      <c r="K46" s="201">
        <v>77</v>
      </c>
      <c r="L46" s="201">
        <v>13</v>
      </c>
      <c r="M46" s="201">
        <f t="shared" si="24"/>
        <v>71.58333333333333</v>
      </c>
      <c r="N46" s="217">
        <f t="shared" si="25"/>
        <v>5107.527651515152</v>
      </c>
      <c r="O46" s="217">
        <f t="shared" si="26"/>
        <v>4794</v>
      </c>
      <c r="P46" s="217">
        <f t="shared" si="38"/>
        <v>3003</v>
      </c>
      <c r="Q46" s="217">
        <v>28800</v>
      </c>
      <c r="R46" s="217">
        <f t="shared" si="41"/>
        <v>45874.980416666665</v>
      </c>
      <c r="S46" s="217">
        <f t="shared" si="10"/>
        <v>106.81019887466046</v>
      </c>
      <c r="T46" s="24">
        <f t="shared" si="28"/>
        <v>59</v>
      </c>
      <c r="U46" s="72">
        <f t="shared" si="29"/>
        <v>129.45868725777927</v>
      </c>
      <c r="V46" s="73">
        <f t="shared" si="42"/>
        <v>1.8085031980132147</v>
      </c>
      <c r="W46" s="81">
        <f t="shared" si="39"/>
        <v>2083.329832974855</v>
      </c>
      <c r="Y46" s="286">
        <f t="shared" si="31"/>
        <v>122.1378605342563</v>
      </c>
      <c r="Z46" s="79">
        <f t="shared" si="43"/>
        <v>1.7062332088603909</v>
      </c>
      <c r="AA46" s="85">
        <f t="shared" si="40"/>
        <v>2268.0148329748504</v>
      </c>
      <c r="AC46" s="218">
        <f t="shared" si="33"/>
        <v>22593</v>
      </c>
      <c r="AD46" s="55">
        <f t="shared" si="14"/>
        <v>52.60302677532014</v>
      </c>
      <c r="AE46" s="55">
        <f t="shared" si="44"/>
        <v>111.60302677532013</v>
      </c>
      <c r="AF46" s="102">
        <f>((AC46/'Assessed Value'!E36)*'Assessed Value'!G36)/12</f>
        <v>9.1024402342193</v>
      </c>
      <c r="AH46" s="107">
        <f>'Debt Service'!K277</f>
        <v>53333.333333333336</v>
      </c>
      <c r="AI46" s="107">
        <f t="shared" si="16"/>
        <v>124.17539774932092</v>
      </c>
      <c r="AJ46" s="107">
        <f t="shared" si="45"/>
        <v>183.17539774932092</v>
      </c>
      <c r="AK46" s="107">
        <f>((AH46/'Assessed Value'!E36)*'Assessed Value'!G36)/12</f>
        <v>21.487340289397718</v>
      </c>
      <c r="AL46" s="157">
        <f>(AH46/'Assessed Value'!E36)*1000</f>
        <v>2.0633433246865063</v>
      </c>
      <c r="AN46" s="58">
        <f>(((AH46+AC46)/'Assessed Value'!E36)*'Assessed Value'!G36)/12</f>
        <v>30.58978052361702</v>
      </c>
      <c r="AO46" s="58">
        <f t="shared" si="46"/>
        <v>235.77842452464105</v>
      </c>
      <c r="AP46" s="58">
        <f t="shared" si="47"/>
        <v>59</v>
      </c>
      <c r="AU46" s="41"/>
      <c r="AV46" s="41"/>
      <c r="AW46" s="41"/>
      <c r="BA46" s="41"/>
      <c r="BB46" s="41"/>
      <c r="BC46" s="41"/>
      <c r="BD46" s="41"/>
      <c r="BE46" s="41"/>
      <c r="BF46" s="41"/>
      <c r="BG46" s="41"/>
      <c r="BI46" s="41"/>
      <c r="BJ46" s="41"/>
      <c r="BK46" s="41"/>
      <c r="BL46" s="41"/>
    </row>
    <row r="47" spans="1:64" ht="13.5" customHeight="1">
      <c r="A47" s="41" t="s">
        <v>34</v>
      </c>
      <c r="B47" s="41">
        <f>VLOOKUP(C47,'Input Data'!$C$2:$D$38,2,FALSE)</f>
        <v>18</v>
      </c>
      <c r="C47" s="41" t="s">
        <v>142</v>
      </c>
      <c r="D47" s="150">
        <v>1250000</v>
      </c>
      <c r="E47" s="150">
        <v>230000</v>
      </c>
      <c r="F47" s="150">
        <v>220000</v>
      </c>
      <c r="G47" s="150">
        <v>800000</v>
      </c>
      <c r="H47" s="150">
        <f t="shared" si="23"/>
        <v>283500</v>
      </c>
      <c r="I47" s="5">
        <v>119655</v>
      </c>
      <c r="J47" s="5">
        <v>630</v>
      </c>
      <c r="K47" s="201">
        <v>148</v>
      </c>
      <c r="L47" s="201">
        <v>68</v>
      </c>
      <c r="M47" s="201">
        <f t="shared" si="24"/>
        <v>119.66666666666666</v>
      </c>
      <c r="N47" s="217">
        <f t="shared" si="25"/>
        <v>10016.573863636364</v>
      </c>
      <c r="O47" s="217">
        <f t="shared" si="26"/>
        <v>10710</v>
      </c>
      <c r="P47" s="217">
        <f t="shared" si="38"/>
        <v>5772</v>
      </c>
      <c r="Q47" s="217">
        <v>28800</v>
      </c>
      <c r="R47" s="217">
        <f t="shared" si="41"/>
        <v>60828.43125000001</v>
      </c>
      <c r="S47" s="217">
        <f t="shared" si="10"/>
        <v>84.7192635793872</v>
      </c>
      <c r="T47" s="24">
        <f t="shared" si="28"/>
        <v>59</v>
      </c>
      <c r="U47" s="72">
        <f t="shared" si="29"/>
        <v>171.65716009143247</v>
      </c>
      <c r="V47" s="73">
        <f t="shared" si="42"/>
        <v>1.4344609478392687</v>
      </c>
      <c r="W47" s="81">
        <f t="shared" si="39"/>
        <v>3482.7260071616897</v>
      </c>
      <c r="Y47" s="286">
        <f t="shared" si="31"/>
        <v>161.9500299520767</v>
      </c>
      <c r="Z47" s="79">
        <f t="shared" si="43"/>
        <v>1.3533428686803068</v>
      </c>
      <c r="AA47" s="85">
        <f t="shared" si="40"/>
        <v>3791.466007161682</v>
      </c>
      <c r="AC47" s="218">
        <f t="shared" si="33"/>
        <v>22395</v>
      </c>
      <c r="AD47" s="55">
        <f t="shared" si="14"/>
        <v>31.190807799442897</v>
      </c>
      <c r="AE47" s="55">
        <f t="shared" si="44"/>
        <v>90.1908077994429</v>
      </c>
      <c r="AF47" s="102">
        <f>((AC47/'Assessed Value'!E37)*'Assessed Value'!G37)/12</f>
        <v>12.240989621333222</v>
      </c>
      <c r="AH47" s="107">
        <f>'Debt Service'!K285</f>
        <v>56888.88888888889</v>
      </c>
      <c r="AI47" s="107">
        <f t="shared" si="16"/>
        <v>79.23243577839678</v>
      </c>
      <c r="AJ47" s="107">
        <f t="shared" si="45"/>
        <v>138.2324357783968</v>
      </c>
      <c r="AK47" s="107">
        <f>((AH47/'Assessed Value'!E37)*'Assessed Value'!G37)/12</f>
        <v>31.095168495560074</v>
      </c>
      <c r="AL47" s="157">
        <f>(AH47/'Assessed Value'!E37)*1000</f>
        <v>0.6663917748533539</v>
      </c>
      <c r="AN47" s="58">
        <f>(((AH47+AC47)/'Assessed Value'!E37)*'Assessed Value'!G37)/12</f>
        <v>43.336158116893294</v>
      </c>
      <c r="AO47" s="58">
        <f t="shared" si="46"/>
        <v>169.42324357783968</v>
      </c>
      <c r="AP47" s="58">
        <f t="shared" si="47"/>
        <v>59</v>
      </c>
      <c r="AU47" s="41"/>
      <c r="AV47" s="41"/>
      <c r="AW47" s="41"/>
      <c r="BA47" s="41"/>
      <c r="BB47" s="41"/>
      <c r="BC47" s="41"/>
      <c r="BD47" s="41"/>
      <c r="BE47" s="41"/>
      <c r="BF47" s="41"/>
      <c r="BG47" s="41"/>
      <c r="BI47" s="41"/>
      <c r="BJ47" s="41"/>
      <c r="BK47" s="41"/>
      <c r="BL47" s="41"/>
    </row>
    <row r="48" spans="1:64" ht="13.5" customHeight="1">
      <c r="A48" s="41" t="s">
        <v>34</v>
      </c>
      <c r="B48" s="41">
        <f>VLOOKUP(C48,'Input Data'!$C$2:$D$38,2,FALSE)</f>
        <v>22</v>
      </c>
      <c r="C48" s="41" t="s">
        <v>89</v>
      </c>
      <c r="D48" s="150">
        <v>4870000</v>
      </c>
      <c r="E48" s="150">
        <v>1080000</v>
      </c>
      <c r="F48" s="150">
        <v>690000</v>
      </c>
      <c r="G48" s="150">
        <v>3100000</v>
      </c>
      <c r="H48" s="150">
        <f t="shared" si="23"/>
        <v>1089450</v>
      </c>
      <c r="I48" s="5">
        <v>427329</v>
      </c>
      <c r="J48" s="5">
        <v>2421</v>
      </c>
      <c r="K48" s="201">
        <v>1701</v>
      </c>
      <c r="L48" s="201">
        <v>938</v>
      </c>
      <c r="M48" s="201">
        <f t="shared" si="24"/>
        <v>1310.1666666666665</v>
      </c>
      <c r="N48" s="217">
        <f t="shared" si="25"/>
        <v>35772.61704545454</v>
      </c>
      <c r="O48" s="217">
        <f t="shared" si="26"/>
        <v>41157</v>
      </c>
      <c r="P48" s="217">
        <f t="shared" si="38"/>
        <v>66339</v>
      </c>
      <c r="Q48" s="217">
        <v>28800</v>
      </c>
      <c r="R48" s="217">
        <f t="shared" si="41"/>
        <v>189275.47875</v>
      </c>
      <c r="S48" s="217">
        <f t="shared" si="10"/>
        <v>24.07778638213968</v>
      </c>
      <c r="T48" s="24">
        <f t="shared" si="28"/>
        <v>59</v>
      </c>
      <c r="U48" s="72">
        <f t="shared" si="29"/>
        <v>534.1333072299357</v>
      </c>
      <c r="V48" s="73">
        <f t="shared" si="42"/>
        <v>0.40768348090314394</v>
      </c>
      <c r="W48" s="81">
        <f t="shared" si="39"/>
        <v>38130.514125763286</v>
      </c>
      <c r="Y48" s="286">
        <f t="shared" si="31"/>
        <v>503.92832468051125</v>
      </c>
      <c r="Z48" s="79">
        <f t="shared" si="43"/>
        <v>0.38462917543354125</v>
      </c>
      <c r="AA48" s="85">
        <f t="shared" si="40"/>
        <v>41510.7441257632</v>
      </c>
      <c r="AC48" s="218">
        <f t="shared" si="33"/>
        <v>92716.5</v>
      </c>
      <c r="AD48" s="55">
        <f t="shared" si="14"/>
        <v>11.794491794937032</v>
      </c>
      <c r="AE48" s="55">
        <f t="shared" si="44"/>
        <v>70.79449179493703</v>
      </c>
      <c r="AF48" s="102">
        <f>((AC48/'Assessed Value'!E38)*'Assessed Value'!G38)/12</f>
        <v>4.237357370260941</v>
      </c>
      <c r="AH48" s="107">
        <f>'Debt Service'!K293</f>
        <v>220444.44444444444</v>
      </c>
      <c r="AI48" s="107">
        <f t="shared" si="16"/>
        <v>28.04279919150801</v>
      </c>
      <c r="AJ48" s="107">
        <f t="shared" si="45"/>
        <v>87.04279919150801</v>
      </c>
      <c r="AK48" s="107">
        <f>((AH48/'Assessed Value'!E38)*'Assessed Value'!G38)/12</f>
        <v>10.074818305261148</v>
      </c>
      <c r="AL48" s="157">
        <f>(AH48/'Assessed Value'!E38)*1000</f>
        <v>0.36206474027282026</v>
      </c>
      <c r="AN48" s="58">
        <f>(((AH48+AC48)/'Assessed Value'!E38)*'Assessed Value'!G38)/12</f>
        <v>14.31217567552209</v>
      </c>
      <c r="AO48" s="58">
        <f t="shared" si="46"/>
        <v>98.83729098644504</v>
      </c>
      <c r="AP48" s="58">
        <f t="shared" si="47"/>
        <v>59</v>
      </c>
      <c r="AU48" s="41"/>
      <c r="AV48" s="41"/>
      <c r="AW48" s="41"/>
      <c r="BA48" s="41"/>
      <c r="BB48" s="41"/>
      <c r="BC48" s="41"/>
      <c r="BD48" s="41"/>
      <c r="BE48" s="41"/>
      <c r="BF48" s="41"/>
      <c r="BG48" s="41"/>
      <c r="BI48" s="41"/>
      <c r="BJ48" s="41"/>
      <c r="BK48" s="41"/>
      <c r="BL48" s="41"/>
    </row>
    <row r="49" spans="1:64" ht="13.5" customHeight="1">
      <c r="A49" s="41" t="s">
        <v>34</v>
      </c>
      <c r="B49" s="41">
        <f>VLOOKUP(C49,'Input Data'!$C$2:$D$38,2,FALSE)</f>
        <v>23</v>
      </c>
      <c r="C49" s="41" t="s">
        <v>16</v>
      </c>
      <c r="D49" s="150">
        <v>1840000</v>
      </c>
      <c r="E49" s="150">
        <v>380000</v>
      </c>
      <c r="F49" s="150">
        <v>310000</v>
      </c>
      <c r="G49" s="150">
        <v>1150000</v>
      </c>
      <c r="H49" s="150">
        <f>J49*450</f>
        <v>436950</v>
      </c>
      <c r="I49" s="5">
        <v>181696</v>
      </c>
      <c r="J49" s="5">
        <v>971</v>
      </c>
      <c r="K49" s="201">
        <v>413</v>
      </c>
      <c r="L49" s="201">
        <v>59</v>
      </c>
      <c r="M49" s="201">
        <f>(K49-L49)+(L49*7/12)</f>
        <v>388.4166666666667</v>
      </c>
      <c r="N49" s="217">
        <f>442*I49/5280</f>
        <v>15210.157575757576</v>
      </c>
      <c r="O49" s="217">
        <f>J49*17</f>
        <v>16507</v>
      </c>
      <c r="P49" s="217">
        <f>39*K49</f>
        <v>16107</v>
      </c>
      <c r="Q49" s="217">
        <v>28800</v>
      </c>
      <c r="R49" s="217">
        <f>(N49+O49+P49+Q49)*1.1</f>
        <v>84286.57333333335</v>
      </c>
      <c r="S49" s="217">
        <f>R49/12/($V$3*M49)</f>
        <v>36.16673389115355</v>
      </c>
      <c r="T49" s="24">
        <f>$S$3*$T$3+$S$4*$T$4+$S$5*$T$5</f>
        <v>59</v>
      </c>
      <c r="U49" s="72">
        <f t="shared" si="29"/>
        <v>237.8557775520187</v>
      </c>
      <c r="V49" s="73">
        <f>U49/M49</f>
        <v>0.6123727377438799</v>
      </c>
      <c r="W49" s="81">
        <f>(M49/$M$26)*$W$27</f>
        <v>11974.820632981262</v>
      </c>
      <c r="Y49" s="286">
        <f t="shared" si="31"/>
        <v>224.40514731984388</v>
      </c>
      <c r="Z49" s="79">
        <f>Y49/M49</f>
        <v>0.5777433528938267</v>
      </c>
      <c r="AA49" s="85">
        <f>(M49/$M$26)*$AA$27</f>
        <v>16099.805632981244</v>
      </c>
      <c r="AC49" s="218">
        <f>0.03*(D49-F49-H49)</f>
        <v>32791.5</v>
      </c>
      <c r="AD49" s="55">
        <f>(AC49/(M49*$V$3))/12</f>
        <v>14.070585711220767</v>
      </c>
      <c r="AE49" s="55">
        <f>T49+AD49</f>
        <v>73.07058571122077</v>
      </c>
      <c r="AF49" s="102">
        <f>((AC49/'Assessed Value'!E11)*'Assessed Value'!G11)/12</f>
        <v>5.831084415458245</v>
      </c>
      <c r="AH49" s="107">
        <f>'Debt Service'!K141</f>
        <v>81777.77777777778</v>
      </c>
      <c r="AI49" s="107">
        <f>AH49/(12*$V$3*M49)</f>
        <v>35.09022861093232</v>
      </c>
      <c r="AJ49" s="107">
        <f>T49+AI49</f>
        <v>94.09022861093231</v>
      </c>
      <c r="AK49" s="107">
        <f>((AH49/'Assessed Value'!E11)*'Assessed Value'!G11)/12</f>
        <v>14.541973545913045</v>
      </c>
      <c r="AL49" s="157">
        <f>(AH49/'Assessed Value'!E11)*1000</f>
        <v>0.9078390219550235</v>
      </c>
      <c r="AN49" s="58">
        <f>(((AH49+AC49)/'Assessed Value'!E11)*'Assessed Value'!G11)/12</f>
        <v>20.37305796137129</v>
      </c>
      <c r="AO49" s="58">
        <f>T49+AD49+AI49</f>
        <v>108.1608143221531</v>
      </c>
      <c r="AP49" s="58">
        <f>T49</f>
        <v>59</v>
      </c>
      <c r="AU49" s="41"/>
      <c r="AV49" s="41"/>
      <c r="AW49" s="41"/>
      <c r="BA49" s="41"/>
      <c r="BB49" s="41"/>
      <c r="BC49" s="41"/>
      <c r="BD49" s="41"/>
      <c r="BE49" s="41"/>
      <c r="BF49" s="41"/>
      <c r="BG49" s="41"/>
      <c r="BI49" s="41"/>
      <c r="BJ49" s="41"/>
      <c r="BK49" s="41"/>
      <c r="BL49" s="41"/>
    </row>
    <row r="50" spans="1:64" ht="13.5" customHeight="1">
      <c r="A50" s="41" t="s">
        <v>34</v>
      </c>
      <c r="B50" s="41">
        <f>VLOOKUP(C50,'Input Data'!$C$2:$D$38,2,FALSE)</f>
        <v>24</v>
      </c>
      <c r="C50" s="41" t="s">
        <v>143</v>
      </c>
      <c r="D50" s="150">
        <v>2530000</v>
      </c>
      <c r="E50" s="150">
        <v>460000</v>
      </c>
      <c r="F50" s="150">
        <v>420000</v>
      </c>
      <c r="G50" s="150">
        <v>1650000</v>
      </c>
      <c r="H50" s="150">
        <f t="shared" si="23"/>
        <v>702450</v>
      </c>
      <c r="I50" s="5">
        <v>253480</v>
      </c>
      <c r="J50" s="5">
        <v>1561</v>
      </c>
      <c r="K50" s="201">
        <v>546</v>
      </c>
      <c r="L50" s="201">
        <v>21</v>
      </c>
      <c r="M50" s="201">
        <f t="shared" si="24"/>
        <v>537.25</v>
      </c>
      <c r="N50" s="217">
        <f t="shared" si="25"/>
        <v>21219.348484848484</v>
      </c>
      <c r="O50" s="217">
        <f t="shared" si="26"/>
        <v>26537</v>
      </c>
      <c r="P50" s="217">
        <f t="shared" si="38"/>
        <v>21294</v>
      </c>
      <c r="Q50" s="217">
        <v>28800</v>
      </c>
      <c r="R50" s="217">
        <f t="shared" si="41"/>
        <v>107635.38333333333</v>
      </c>
      <c r="S50" s="217">
        <f t="shared" si="10"/>
        <v>33.39084328628302</v>
      </c>
      <c r="T50" s="24">
        <f t="shared" si="28"/>
        <v>59</v>
      </c>
      <c r="U50" s="72">
        <f t="shared" si="29"/>
        <v>303.7458610828912</v>
      </c>
      <c r="V50" s="73">
        <f t="shared" si="42"/>
        <v>0.5653715422668986</v>
      </c>
      <c r="W50" s="81">
        <f>(M50/$M$57)*$W$57</f>
        <v>15635.887582292073</v>
      </c>
      <c r="Y50" s="286">
        <f t="shared" si="31"/>
        <v>286.5691782037629</v>
      </c>
      <c r="Z50" s="79">
        <f t="shared" si="43"/>
        <v>0.533400052496534</v>
      </c>
      <c r="AA50" s="85">
        <f>(M50/$M$57)*$AA$57</f>
        <v>17021.992582292038</v>
      </c>
      <c r="AC50" s="218">
        <f t="shared" si="33"/>
        <v>42226.5</v>
      </c>
      <c r="AD50" s="55">
        <f t="shared" si="14"/>
        <v>13.099581200558399</v>
      </c>
      <c r="AE50" s="55">
        <f t="shared" si="44"/>
        <v>72.0995812005584</v>
      </c>
      <c r="AF50" s="102">
        <f>((AC50/'Assessed Value'!E39)*'Assessed Value'!G39)/12</f>
        <v>5.7253247100434415</v>
      </c>
      <c r="AH50" s="107">
        <f>'Debt Service'!K301</f>
        <v>117333.33333333334</v>
      </c>
      <c r="AI50" s="107">
        <f t="shared" si="16"/>
        <v>36.39935887492891</v>
      </c>
      <c r="AJ50" s="107">
        <f t="shared" si="45"/>
        <v>95.39935887492891</v>
      </c>
      <c r="AK50" s="107">
        <f>((AH50/'Assessed Value'!E39)*'Assessed Value'!G39)/12</f>
        <v>15.908764227324012</v>
      </c>
      <c r="AL50" s="157">
        <f>(AH50/'Assessed Value'!E39)*1000</f>
        <v>0.7844024636405615</v>
      </c>
      <c r="AN50" s="58">
        <f>(((AH50+AC50)/'Assessed Value'!E39)*'Assessed Value'!G39)/12</f>
        <v>21.63408893736745</v>
      </c>
      <c r="AO50" s="58">
        <f t="shared" si="46"/>
        <v>108.49894007548731</v>
      </c>
      <c r="AP50" s="58">
        <f t="shared" si="47"/>
        <v>59</v>
      </c>
      <c r="AU50" s="41"/>
      <c r="AV50" s="41"/>
      <c r="AW50" s="41"/>
      <c r="BA50" s="41"/>
      <c r="BB50" s="41"/>
      <c r="BC50" s="41"/>
      <c r="BD50" s="41"/>
      <c r="BE50" s="41"/>
      <c r="BF50" s="41"/>
      <c r="BG50" s="41"/>
      <c r="BI50" s="41"/>
      <c r="BJ50" s="41"/>
      <c r="BK50" s="41"/>
      <c r="BL50" s="41"/>
    </row>
    <row r="51" spans="1:64" ht="13.5" customHeight="1">
      <c r="A51" s="41" t="s">
        <v>34</v>
      </c>
      <c r="B51" s="41">
        <f>VLOOKUP(C51,'Input Data'!$C$2:$D$38,2,FALSE)</f>
        <v>26</v>
      </c>
      <c r="C51" s="41" t="s">
        <v>144</v>
      </c>
      <c r="D51" s="150">
        <v>4400000</v>
      </c>
      <c r="E51" s="150">
        <v>910000</v>
      </c>
      <c r="F51" s="150">
        <v>640000</v>
      </c>
      <c r="G51" s="150">
        <v>2850000</v>
      </c>
      <c r="H51" s="150">
        <f t="shared" si="23"/>
        <v>1067850</v>
      </c>
      <c r="I51" s="5">
        <v>364281</v>
      </c>
      <c r="J51" s="5">
        <v>2373</v>
      </c>
      <c r="K51" s="201">
        <v>1339</v>
      </c>
      <c r="L51" s="201">
        <v>15</v>
      </c>
      <c r="M51" s="201">
        <f t="shared" si="24"/>
        <v>1332.75</v>
      </c>
      <c r="N51" s="217">
        <f t="shared" si="25"/>
        <v>30494.735227272726</v>
      </c>
      <c r="O51" s="217">
        <f t="shared" si="26"/>
        <v>40341</v>
      </c>
      <c r="P51" s="217">
        <f t="shared" si="38"/>
        <v>52221</v>
      </c>
      <c r="Q51" s="217">
        <v>28800</v>
      </c>
      <c r="R51" s="217">
        <f t="shared" si="41"/>
        <v>167042.40875</v>
      </c>
      <c r="S51" s="217">
        <f t="shared" si="10"/>
        <v>20.889440223847934</v>
      </c>
      <c r="T51" s="24">
        <f t="shared" si="28"/>
        <v>59</v>
      </c>
      <c r="U51" s="72">
        <f t="shared" si="29"/>
        <v>471.3918296365278</v>
      </c>
      <c r="V51" s="73">
        <f t="shared" si="42"/>
        <v>0.35369861537162095</v>
      </c>
      <c r="W51" s="81">
        <f>(M51/$M$57)*$W$57</f>
        <v>38787.769521265254</v>
      </c>
      <c r="Y51" s="286">
        <f t="shared" si="31"/>
        <v>444.73484757720985</v>
      </c>
      <c r="Z51" s="79">
        <f t="shared" si="43"/>
        <v>0.3336971281764846</v>
      </c>
      <c r="AA51" s="85">
        <f>(M51/$M$57)*$AA$57</f>
        <v>42226.26452126517</v>
      </c>
      <c r="AC51" s="218">
        <f t="shared" si="33"/>
        <v>80764.5</v>
      </c>
      <c r="AD51" s="55">
        <f t="shared" si="14"/>
        <v>10.099981241793285</v>
      </c>
      <c r="AE51" s="55">
        <f t="shared" si="44"/>
        <v>69.09998124179329</v>
      </c>
      <c r="AF51" s="102">
        <f>((AC51/'Assessed Value'!E40)*'Assessed Value'!G40)/12</f>
        <v>4.825522105221234</v>
      </c>
      <c r="AH51" s="107">
        <f>'Debt Service'!K309</f>
        <v>202666.6666666667</v>
      </c>
      <c r="AI51" s="107">
        <f t="shared" si="16"/>
        <v>25.34442151774735</v>
      </c>
      <c r="AJ51" s="107">
        <f t="shared" si="45"/>
        <v>84.34442151774735</v>
      </c>
      <c r="AK51" s="107">
        <f>((AH51/'Assessed Value'!E40)*'Assessed Value'!G40)/12</f>
        <v>12.108939942567632</v>
      </c>
      <c r="AL51" s="157">
        <f>(AH51/'Assessed Value'!E40)*1000</f>
        <v>0.4528136107322838</v>
      </c>
      <c r="AN51" s="58">
        <f>(((AH51+AC51)/'Assessed Value'!E40)*'Assessed Value'!G40)/12</f>
        <v>16.934462047788866</v>
      </c>
      <c r="AO51" s="58">
        <f t="shared" si="46"/>
        <v>94.44440275954064</v>
      </c>
      <c r="AP51" s="58">
        <f t="shared" si="47"/>
        <v>59</v>
      </c>
      <c r="AU51" s="41"/>
      <c r="AV51" s="41"/>
      <c r="AW51" s="41"/>
      <c r="BA51" s="41"/>
      <c r="BB51" s="41"/>
      <c r="BC51" s="41"/>
      <c r="BD51" s="41"/>
      <c r="BE51" s="41"/>
      <c r="BF51" s="41"/>
      <c r="BG51" s="41"/>
      <c r="BI51" s="41"/>
      <c r="BJ51" s="41"/>
      <c r="BK51" s="41"/>
      <c r="BL51" s="41"/>
    </row>
    <row r="52" spans="1:64" ht="13.5" customHeight="1">
      <c r="A52" s="41" t="s">
        <v>34</v>
      </c>
      <c r="B52" s="41">
        <f>VLOOKUP(C52,'Input Data'!$C$2:$D$38,2,FALSE)</f>
        <v>29</v>
      </c>
      <c r="C52" s="41" t="s">
        <v>145</v>
      </c>
      <c r="D52" s="219">
        <v>1760000</v>
      </c>
      <c r="E52" s="219">
        <v>350000</v>
      </c>
      <c r="F52" s="219">
        <v>300000</v>
      </c>
      <c r="G52" s="219">
        <v>1110000</v>
      </c>
      <c r="H52" s="219">
        <f t="shared" si="23"/>
        <v>330750</v>
      </c>
      <c r="I52" s="220">
        <v>170912</v>
      </c>
      <c r="J52" s="220">
        <v>735</v>
      </c>
      <c r="K52" s="202">
        <v>357</v>
      </c>
      <c r="L52" s="202">
        <v>39</v>
      </c>
      <c r="M52" s="202">
        <f t="shared" si="24"/>
        <v>340.75</v>
      </c>
      <c r="N52" s="221">
        <f t="shared" si="25"/>
        <v>14307.406060606061</v>
      </c>
      <c r="O52" s="221">
        <f t="shared" si="26"/>
        <v>12495</v>
      </c>
      <c r="P52" s="221">
        <f t="shared" si="38"/>
        <v>13923</v>
      </c>
      <c r="Q52" s="221">
        <v>28800</v>
      </c>
      <c r="R52" s="221">
        <f t="shared" si="41"/>
        <v>76477.94666666668</v>
      </c>
      <c r="S52" s="221">
        <f t="shared" si="10"/>
        <v>37.40667481861907</v>
      </c>
      <c r="T52" s="190">
        <f t="shared" si="28"/>
        <v>59</v>
      </c>
      <c r="U52" s="191">
        <f t="shared" si="29"/>
        <v>215.81991947924902</v>
      </c>
      <c r="V52" s="192">
        <f t="shared" si="42"/>
        <v>0.633367335228904</v>
      </c>
      <c r="W52" s="193">
        <f>(M52/$M$57)*$W$57</f>
        <v>9917.03805242629</v>
      </c>
      <c r="Y52" s="287">
        <f t="shared" si="31"/>
        <v>203.61540646077393</v>
      </c>
      <c r="Z52" s="194">
        <f t="shared" si="43"/>
        <v>0.5975507159523813</v>
      </c>
      <c r="AA52" s="195">
        <f>(M52/$M$57)*$AA$57</f>
        <v>10796.173052426268</v>
      </c>
      <c r="AC52" s="222">
        <f t="shared" si="33"/>
        <v>33877.5</v>
      </c>
      <c r="AD52" s="196">
        <f t="shared" si="14"/>
        <v>16.57006603081438</v>
      </c>
      <c r="AE52" s="196">
        <f t="shared" si="44"/>
        <v>75.57006603081439</v>
      </c>
      <c r="AF52" s="197">
        <f>((AC52/'Assessed Value'!E41)*'Assessed Value'!G41)/12</f>
        <v>7.506969943917118</v>
      </c>
      <c r="AH52" s="198">
        <f>'Debt Service'!K317</f>
        <v>78933.33333333333</v>
      </c>
      <c r="AI52" s="198">
        <f t="shared" si="16"/>
        <v>38.60764653134425</v>
      </c>
      <c r="AJ52" s="198">
        <f t="shared" si="45"/>
        <v>97.60764653134424</v>
      </c>
      <c r="AK52" s="198">
        <f>((AH52/'Assessed Value'!E41)*'Assessed Value'!G41)/12</f>
        <v>17.490964826404678</v>
      </c>
      <c r="AL52" s="199">
        <f>(AH52/'Assessed Value'!E41)*1000</f>
        <v>1.1801500907708855</v>
      </c>
      <c r="AN52" s="200">
        <f>(((AH52+AC52)/'Assessed Value'!E41)*'Assessed Value'!G41)/12</f>
        <v>24.997934770321795</v>
      </c>
      <c r="AO52" s="200">
        <f t="shared" si="46"/>
        <v>114.17771256215863</v>
      </c>
      <c r="AP52" s="200">
        <f t="shared" si="47"/>
        <v>59</v>
      </c>
      <c r="AU52" s="41"/>
      <c r="AV52" s="41"/>
      <c r="AW52" s="41"/>
      <c r="BA52" s="41"/>
      <c r="BB52" s="41"/>
      <c r="BC52" s="41"/>
      <c r="BD52" s="41"/>
      <c r="BE52" s="41"/>
      <c r="BF52" s="41"/>
      <c r="BG52" s="41"/>
      <c r="BI52" s="41"/>
      <c r="BJ52" s="41"/>
      <c r="BK52" s="41"/>
      <c r="BL52" s="41"/>
    </row>
    <row r="53" spans="3:42" s="333" customFormat="1" ht="12">
      <c r="C53" s="383" t="s">
        <v>185</v>
      </c>
      <c r="D53" s="335">
        <f>SUM(D34:D41)</f>
        <v>24440000</v>
      </c>
      <c r="E53" s="335">
        <f aca="true" t="shared" si="48" ref="E53:R53">SUM(E34:E41)</f>
        <v>4670000</v>
      </c>
      <c r="F53" s="335">
        <f t="shared" si="48"/>
        <v>3960000</v>
      </c>
      <c r="G53" s="335">
        <f t="shared" si="48"/>
        <v>16770000</v>
      </c>
      <c r="H53" s="335">
        <f t="shared" si="48"/>
        <v>5922000</v>
      </c>
      <c r="I53" s="336">
        <f t="shared" si="48"/>
        <v>2415182</v>
      </c>
      <c r="J53" s="336">
        <f t="shared" si="48"/>
        <v>13160</v>
      </c>
      <c r="K53" s="336">
        <f t="shared" si="48"/>
        <v>5572</v>
      </c>
      <c r="L53" s="336">
        <f t="shared" si="48"/>
        <v>1953</v>
      </c>
      <c r="M53" s="337">
        <f t="shared" si="24"/>
        <v>4758.25</v>
      </c>
      <c r="N53" s="335">
        <f t="shared" si="48"/>
        <v>202180.0083333333</v>
      </c>
      <c r="O53" s="335">
        <f t="shared" si="48"/>
        <v>223720</v>
      </c>
      <c r="P53" s="335">
        <f t="shared" si="48"/>
        <v>217308</v>
      </c>
      <c r="Q53" s="335">
        <f t="shared" si="48"/>
        <v>230400</v>
      </c>
      <c r="R53" s="335">
        <f t="shared" si="48"/>
        <v>960968.8091666668</v>
      </c>
      <c r="S53" s="338">
        <f>R54/12/($V$3*M53)</f>
        <v>28.319836395266698</v>
      </c>
      <c r="T53" s="311">
        <f t="shared" si="28"/>
        <v>59</v>
      </c>
      <c r="U53" s="330">
        <f>R54/((T53-(1-$S$3)*$P$108-$S$3*$Q$108)*12)</f>
        <v>2281.6265074124244</v>
      </c>
      <c r="Y53" s="339">
        <f>R54/((T53-(1-$S$3)*$S$108-$S$3*$T$108-$U$108)*12)</f>
        <v>2152.6016218494856</v>
      </c>
      <c r="Z53" s="331">
        <f>Y53/M53</f>
        <v>0.4523935526400432</v>
      </c>
      <c r="AA53" s="311">
        <f>IF(M53*$V$3&lt;=$R$108,M53*$V$3*($S$4*$T$4+S$5*$T$5+$S$3*$T$3-(1-$S$3)*$S$108-$S$3*$T$108-$U$108)*12-R54,IF(M53*$V$3&lt;=$R$109,M53*$V$3*($S$4*$T$4+S$5*$T$5+$S$3*$T$3-(1-$S$3)*$S$109-$S$3*$T$109-$U$109)*12-R54,IF(M53*$V$3&lt;=$R$110,M53*$V$3*($S$4*$T$4+S$5*$T$5+$S$3*$T$3-(1-$S$3)*$S$110-$S$3*$T$110-$U$110)*12-R54,IF(M53*$V$3&lt;=$R$111,M53*$V$3*($S$4*$T$4+S$5*$T$5+$S$3*$T$3-(1-$S$3)*$S$111-$S$3*$T$111-$U$111)*12-R54))))</f>
        <v>85082.18083333317</v>
      </c>
      <c r="AB53" s="311"/>
      <c r="AC53" s="338">
        <f t="shared" si="33"/>
        <v>436740</v>
      </c>
      <c r="AD53" s="311">
        <f t="shared" si="14"/>
        <v>15.297640939421006</v>
      </c>
      <c r="AE53" s="311">
        <f>T53+AD53</f>
        <v>74.297640939421</v>
      </c>
      <c r="AF53" s="327">
        <f>((AC53/'Assessed Value'!E42)*'Assessed Value'!G42)/12</f>
        <v>3.5570766374953533</v>
      </c>
      <c r="AG53" s="327"/>
      <c r="AH53" s="311">
        <f>SUM(AH34:AH52)</f>
        <v>2194275</v>
      </c>
      <c r="AI53" s="311">
        <f t="shared" si="16"/>
        <v>76.85861398623443</v>
      </c>
      <c r="AJ53" s="311">
        <f>T53+AI53</f>
        <v>135.85861398623445</v>
      </c>
      <c r="AK53" s="311">
        <f>((AH53/'Assessed Value'!E42)*'Assessed Value'!G42)/12</f>
        <v>17.871512430141767</v>
      </c>
      <c r="AL53" s="328">
        <f>(AH53/'Assessed Value'!E42)*1000</f>
        <v>0.643243547801626</v>
      </c>
      <c r="AM53" s="311"/>
      <c r="AN53" s="311">
        <f>(((AH53+AC53)/'Assessed Value'!E42)*'Assessed Value'!G42)/12</f>
        <v>21.42858906763712</v>
      </c>
      <c r="AO53" s="311">
        <f>T53+AD53+AI53</f>
        <v>151.15625492565545</v>
      </c>
      <c r="AP53" s="311">
        <f>T53</f>
        <v>59</v>
      </c>
    </row>
    <row r="54" spans="3:42" s="333" customFormat="1" ht="12">
      <c r="C54" s="334" t="s">
        <v>177</v>
      </c>
      <c r="D54" s="335"/>
      <c r="E54" s="335"/>
      <c r="F54" s="335"/>
      <c r="G54" s="335"/>
      <c r="H54" s="335"/>
      <c r="I54" s="336"/>
      <c r="J54" s="336"/>
      <c r="K54" s="336"/>
      <c r="L54" s="336"/>
      <c r="M54" s="337"/>
      <c r="N54" s="335"/>
      <c r="O54" s="335"/>
      <c r="P54" s="335">
        <f>0.7*SUM(P34:P41)</f>
        <v>152115.59999999998</v>
      </c>
      <c r="Q54" s="335">
        <v>157000</v>
      </c>
      <c r="R54" s="338">
        <f>(N53+O53+P54+Q54)*1.1</f>
        <v>808517.1691666667</v>
      </c>
      <c r="S54" s="338"/>
      <c r="T54" s="311"/>
      <c r="U54" s="330"/>
      <c r="V54" s="331">
        <f>U53/M53</f>
        <v>0.47950959016706235</v>
      </c>
      <c r="W54" s="325">
        <f>IF(M53*$V$3&lt;=$O$108,M53*$V$3*($S$4*$T$4+S$5*$T$5+$S$3*$T$3-(1-$S$3)*$P$108-$S$3*$Q$108)*12-R54,IF(M53*$V$3&lt;=$O$109,M53*$V$3*($S$4*$T$4+S$5*$T$5+$S$3*$T$3-(1-$S$3)*$P$109-$S$3*$Q$109)*12-R54,IF(M53*$V$3&lt;=$O$110,M53*$V$3*($S$4*$T$4+S$5*$T$5+$S$3*$T$3-(1-$S$3)*$P$110-$S$3*$Q$110)*12-R54,IF(M53*$V$3&lt;=$O$111,M53*$V$3*($S$4*$T$4+S$5*$T$5+$S$3*$T$3-(1-$S$3)*$P$111-$S$3*$Q$111)*12-R54))))</f>
        <v>34549.5658333333</v>
      </c>
      <c r="Y54" s="339"/>
      <c r="Z54" s="331"/>
      <c r="AA54" s="311"/>
      <c r="AB54" s="311"/>
      <c r="AC54" s="338"/>
      <c r="AD54" s="311"/>
      <c r="AE54" s="311"/>
      <c r="AF54" s="327"/>
      <c r="AG54" s="327"/>
      <c r="AH54" s="311"/>
      <c r="AI54" s="311"/>
      <c r="AJ54" s="311"/>
      <c r="AK54" s="311"/>
      <c r="AL54" s="328"/>
      <c r="AM54" s="311"/>
      <c r="AN54" s="311"/>
      <c r="AO54" s="311"/>
      <c r="AP54" s="311"/>
    </row>
    <row r="55" spans="3:42" s="333" customFormat="1" ht="22.5" customHeight="1">
      <c r="C55" s="334"/>
      <c r="D55" s="335"/>
      <c r="E55" s="335"/>
      <c r="F55" s="335"/>
      <c r="G55" s="335"/>
      <c r="H55" s="335"/>
      <c r="I55" s="336"/>
      <c r="J55" s="336"/>
      <c r="K55" s="336"/>
      <c r="L55" s="336"/>
      <c r="M55" s="337"/>
      <c r="N55" s="335"/>
      <c r="O55" s="335"/>
      <c r="P55" s="335"/>
      <c r="Q55" s="335"/>
      <c r="R55" s="338"/>
      <c r="S55" s="338"/>
      <c r="T55" s="311"/>
      <c r="U55" s="330"/>
      <c r="V55" s="331"/>
      <c r="W55" s="325"/>
      <c r="Y55" s="339"/>
      <c r="Z55" s="331"/>
      <c r="AA55" s="311"/>
      <c r="AB55" s="311"/>
      <c r="AC55" s="338"/>
      <c r="AD55" s="311"/>
      <c r="AE55" s="311"/>
      <c r="AF55" s="327"/>
      <c r="AG55" s="327"/>
      <c r="AH55" s="311"/>
      <c r="AI55" s="311"/>
      <c r="AJ55" s="311"/>
      <c r="AK55" s="311"/>
      <c r="AL55" s="328"/>
      <c r="AM55" s="311"/>
      <c r="AN55" s="311"/>
      <c r="AO55" s="311"/>
      <c r="AP55" s="311"/>
    </row>
    <row r="56" spans="3:42" s="223" customFormat="1" ht="14.25" customHeight="1">
      <c r="C56" s="223" t="s">
        <v>40</v>
      </c>
      <c r="D56" s="6">
        <f aca="true" t="shared" si="49" ref="D56:L56">D26+D31</f>
        <v>42340000</v>
      </c>
      <c r="E56" s="6">
        <f t="shared" si="49"/>
        <v>8710000</v>
      </c>
      <c r="F56" s="6">
        <f t="shared" si="49"/>
        <v>6960000</v>
      </c>
      <c r="G56" s="6">
        <f t="shared" si="49"/>
        <v>26670000</v>
      </c>
      <c r="H56" s="6">
        <f t="shared" si="49"/>
        <v>10950300</v>
      </c>
      <c r="I56" s="28">
        <f t="shared" si="49"/>
        <v>4483832</v>
      </c>
      <c r="J56" s="229">
        <f t="shared" si="49"/>
        <v>24334</v>
      </c>
      <c r="K56" s="229">
        <f t="shared" si="49"/>
        <v>10077</v>
      </c>
      <c r="L56" s="229">
        <f t="shared" si="49"/>
        <v>1944</v>
      </c>
      <c r="M56" s="224">
        <f>(K56-L56)+(L56*7/12)</f>
        <v>9267</v>
      </c>
      <c r="N56" s="6">
        <f>N26+N31</f>
        <v>375351.0878787879</v>
      </c>
      <c r="O56" s="6">
        <f>O26+O31</f>
        <v>413678</v>
      </c>
      <c r="P56" s="6">
        <f>P27+P32</f>
        <v>275102.1</v>
      </c>
      <c r="Q56" s="6">
        <f>Q27+Q31</f>
        <v>213600</v>
      </c>
      <c r="R56" s="225">
        <f>(N56+O56+P56+Q56)*1.1</f>
        <v>1405504.3066666669</v>
      </c>
      <c r="S56" s="225">
        <f t="shared" si="10"/>
        <v>25.27794515784804</v>
      </c>
      <c r="T56" s="6">
        <f>$S$3*$T$3+$S$4*$T$4+$S$5*$T$5</f>
        <v>59</v>
      </c>
      <c r="U56" s="74">
        <f>R56/((T56-(1-$S$3)*$P$108-$S$3*$Q$108)*12)</f>
        <v>3966.3176054483206</v>
      </c>
      <c r="V56" s="75">
        <f>U56/M56</f>
        <v>0.4280044896350837</v>
      </c>
      <c r="W56" s="82">
        <f>IF(M56*$V$3&lt;=$O$108,M56*$V$3*($S$4*$T$4+S$5*$T$5+$S$3*$T$3-(1-$S$3)*$P$108-$S$3*$Q$108)*12-R56,IF(M56*$V$3&lt;=$O$109,M56*$V$3*($S$4*$T$4+S$5*$T$5+$S$3*$T$3-(1-$S$3)*$P$109-$S$3*$Q$109)*12-R56,IF(M56*$V$3&lt;=$O$110,M56*$V$3*($S$4*$T$4+S$5*$T$5+$S$3*$T$3-(1-$S$3)*$P$110-$S$3*$Q$110)*12-R56,IF(M56*$V$3&lt;=$O$111,M56*$V$3*($S$4*$T$4+S$5*$T$5+$S$3*$T$3-(1-$S$3)*$P$111-$S$3*$Q$111)*12-R56))))</f>
        <v>236422.75333333318</v>
      </c>
      <c r="Y56" s="288">
        <f>R56/((T56-(1-$S$3)*$S$108-$S$3*$T$108-$U$108)*12)</f>
        <v>3742.024245651403</v>
      </c>
      <c r="Z56" s="116">
        <f>Y56/M56</f>
        <v>0.4038010408601924</v>
      </c>
      <c r="AA56" s="117">
        <f>IF(M56*$V$3&lt;=$R$108,M56*$V$3*($S$4*$T$4+S$5*$T$5+$S$3*$T$3-(1-$S$3)*$S$108-$S$3*$T$108-$U$108)*12-R56,IF(M56*$V$3&lt;=$R$109,M56*$V$3*($S$4*$T$4+S$5*$T$5+$S$3*$T$3-(1-$S$3)*$S$109-$S$3*$T$109-$U$109)*12-R56,IF(M56*$V$3&lt;=$R$110,M56*$V$3*($S$4*$T$4+S$5*$T$5+$S$3*$T$3-(1-$S$3)*$S$110-$S$3*$T$110-$U$110)*12-R56,IF(M56*$V$3&lt;=$R$111,M56*$V$3*($S$4*$T$4+S$5*$T$5+$S$3*$T$3-(1-$S$3)*$S$111-$S$3*$T$111-$U$111)*12-R56))))</f>
        <v>334838.293333333</v>
      </c>
      <c r="AB56" s="93"/>
      <c r="AC56" s="226">
        <f>0.03*(D56-F56-H56)</f>
        <v>732891</v>
      </c>
      <c r="AD56" s="104">
        <f t="shared" si="14"/>
        <v>13.181018668393223</v>
      </c>
      <c r="AE56" s="104">
        <f>T56+AD56</f>
        <v>72.18101866839322</v>
      </c>
      <c r="AF56" s="118">
        <f>(AC56/('Assessed Value'!E17+'Assessed Value'!E25))*('Assessed Value'!F17+'Assessed Value'!F25)/('Assessed Value'!D17+'Assessed Value'!D25)/12</f>
        <v>4.190927377498945</v>
      </c>
      <c r="AG56" s="119"/>
      <c r="AH56" s="108">
        <f>AH26+AH31</f>
        <v>5282844.444444445</v>
      </c>
      <c r="AI56" s="108">
        <f t="shared" si="16"/>
        <v>95.01177016014613</v>
      </c>
      <c r="AJ56" s="108">
        <f>T56+AI56</f>
        <v>154.0117701601461</v>
      </c>
      <c r="AK56" s="108">
        <f>(AH56/('Assessed Value'!E17+'Assessed Value'!E25))*('Assessed Value'!F17+'Assessed Value'!F25)/('Assessed Value'!D17+'Assessed Value'!D25)/12</f>
        <v>30.209154449011432</v>
      </c>
      <c r="AL56" s="158">
        <f>(AH56/'Assessed Value'!E43)*1000</f>
        <v>1.4505065919456472</v>
      </c>
      <c r="AM56" s="6"/>
      <c r="AN56" s="114">
        <f>((AH56+AC56)/('Assessed Value'!E17+'Assessed Value'!E25))*('Assessed Value'!F17+'Assessed Value'!F25)/('Assessed Value'!D17+'Assessed Value'!D25)/12</f>
        <v>34.40008182651038</v>
      </c>
      <c r="AO56" s="114">
        <f>T56+AD56+AI56</f>
        <v>167.19278882853934</v>
      </c>
      <c r="AP56" s="114">
        <f>T56</f>
        <v>59</v>
      </c>
    </row>
    <row r="57" spans="3:42" s="223" customFormat="1" ht="14.25" customHeight="1">
      <c r="C57" s="223" t="s">
        <v>41</v>
      </c>
      <c r="D57" s="6">
        <f aca="true" t="shared" si="50" ref="D57:L57">D26+D31+D53</f>
        <v>66780000</v>
      </c>
      <c r="E57" s="6">
        <f t="shared" si="50"/>
        <v>13380000</v>
      </c>
      <c r="F57" s="6">
        <f t="shared" si="50"/>
        <v>10920000</v>
      </c>
      <c r="G57" s="6">
        <f t="shared" si="50"/>
        <v>43440000</v>
      </c>
      <c r="H57" s="6">
        <f t="shared" si="50"/>
        <v>16872300</v>
      </c>
      <c r="I57" s="28">
        <f t="shared" si="50"/>
        <v>6899014</v>
      </c>
      <c r="J57" s="229">
        <f t="shared" si="50"/>
        <v>37494</v>
      </c>
      <c r="K57" s="229">
        <f t="shared" si="50"/>
        <v>15649</v>
      </c>
      <c r="L57" s="229">
        <f t="shared" si="50"/>
        <v>3897</v>
      </c>
      <c r="M57" s="224">
        <f>(K57-L57)+(L57*7/12)</f>
        <v>14025.25</v>
      </c>
      <c r="N57" s="6">
        <f>N26+N31+N53</f>
        <v>577531.0962121212</v>
      </c>
      <c r="O57" s="6">
        <f>O26+O31+O53</f>
        <v>637398</v>
      </c>
      <c r="P57" s="6">
        <f>P27+P32+P54</f>
        <v>427217.69999999995</v>
      </c>
      <c r="Q57" s="6">
        <f>Q27+Q31+Q53</f>
        <v>444000</v>
      </c>
      <c r="R57" s="225">
        <f>(N57+O57+P57+Q57)*1.1</f>
        <v>2294761.4758333336</v>
      </c>
      <c r="S57" s="225">
        <f t="shared" si="10"/>
        <v>27.269406675262275</v>
      </c>
      <c r="T57" s="6">
        <f>$S$3*$T$3+$S$4*$T$4+$S$5*$T$5</f>
        <v>59</v>
      </c>
      <c r="U57" s="74">
        <f>R57/((T57-(1-$S$3)*$P$108-$S$3*$Q$108)*12)</f>
        <v>6475.791499698988</v>
      </c>
      <c r="V57" s="75">
        <f>U57/M57</f>
        <v>0.46172378386830815</v>
      </c>
      <c r="W57" s="82">
        <f>IF(M57*$V$3&lt;=$O$108,M57*$V$3*($S$4*$T$4+S$5*$T$5+$S$3*$T$3-(1-$S$3)*$P$108-$S$3*$Q$108)*12-R57,IF(M57*$V$3&lt;=$O$109,M57*$V$3*($S$4*$T$4+S$5*$T$5+$S$3*$T$3-(1-$S$3)*$P$109-$S$3*$Q$109)*12-R57,IF(M57*$V$3&lt;=$O$110,M57*$V$3*($S$4*$T$4+S$5*$T$5+$S$3*$T$3-(1-$S$3)*$P$110-$S$3*$Q$110)*12-R57,IF(M57*$V$3&lt;=$O$111,M57*$V$3*($S$4*$T$4+S$5*$T$5+$S$3*$T$3-(1-$S$3)*$P$111-$S$3*$Q$111)*12-R57))))</f>
        <v>408184.70416666707</v>
      </c>
      <c r="Y57" s="288">
        <f>R57/((T57-(1-$S$3)*$S$108-$S$3*$T$108-$U$108)*12)</f>
        <v>6109.588593805468</v>
      </c>
      <c r="Z57" s="116">
        <f>Y57/M57</f>
        <v>0.4356135251639342</v>
      </c>
      <c r="AA57" s="117">
        <f>IF(M57*$V$3&lt;=$R$108,M57*$V$3*($S$4*$T$4+S$5*$T$5+$S$3*$T$3-(1-$S$3)*$S$108-$S$3*$T$108-$U$108)*12-R57,IF(M57*$V$3&lt;=$R$109,M57*$V$3*($S$4*$T$4+S$5*$T$5+$S$3*$T$3-(1-$S$3)*$S$109-$S$3*$T$109-$U$109)*12-R57,IF(M57*$V$3&lt;=$R$110,M57*$V$3*($S$4*$T$4+S$5*$T$5+$S$3*$T$3-(1-$S$3)*$S$110-$S$3*$T$110-$U$110)*12-R57,IF(M57*$V$3&lt;=$R$111,M57*$V$3*($S$4*$T$4+S$5*$T$5+$S$3*$T$3-(1-$S$3)*$S$111-$S$3*$T$111-$U$111)*12-R57))))</f>
        <v>444369.84916666616</v>
      </c>
      <c r="AB57" s="93"/>
      <c r="AC57" s="226">
        <f>0.03*(D57-F57-H57)</f>
        <v>1169631</v>
      </c>
      <c r="AD57" s="104">
        <f t="shared" si="14"/>
        <v>13.899110532789075</v>
      </c>
      <c r="AE57" s="104">
        <f>T57+AD57</f>
        <v>72.89911053278908</v>
      </c>
      <c r="AF57" s="118">
        <f>(AC57/('Assessed Value'!E17+'Assessed Value'!E25+'Assessed Value'!E42))*('Assessed Value'!F17+'Assessed Value'!F25+'Assessed Value'!F42)/('Assessed Value'!D17+'Assessed Value'!D25+'Assessed Value'!D42)/12</f>
        <v>3.950426936826067</v>
      </c>
      <c r="AG57" s="119"/>
      <c r="AH57" s="108">
        <f>AH26+AH31+AH53</f>
        <v>7477119.444444445</v>
      </c>
      <c r="AI57" s="108">
        <f t="shared" si="16"/>
        <v>88.85307385423249</v>
      </c>
      <c r="AJ57" s="108">
        <f>T57+AI57</f>
        <v>147.8530738542325</v>
      </c>
      <c r="AK57" s="108">
        <f>(AH57/('Assessed Value'!E17+'Assessed Value'!E25+'Assessed Value'!E42))*('Assessed Value'!F17+'Assessed Value'!F25+'Assessed Value'!F42)/('Assessed Value'!D17+'Assessed Value'!D25+'Assessed Value'!D42)/12</f>
        <v>25.253959636158147</v>
      </c>
      <c r="AL57" s="158">
        <f>(AH57/'Assessed Value'!E44)*1000</f>
        <v>1.0600828773568014</v>
      </c>
      <c r="AM57" s="6"/>
      <c r="AN57" s="114">
        <f>((AH57+AC57)/('Assessed Value'!E17+'Assessed Value'!E25+'Assessed Value'!E42))*('Assessed Value'!F17+'Assessed Value'!F25+'Assessed Value'!F42)/('Assessed Value'!D17+'Assessed Value'!D25+'Assessed Value'!D42)/12</f>
        <v>29.20438657298421</v>
      </c>
      <c r="AO57" s="114">
        <f>T57+AD57+AI57</f>
        <v>161.75218438702157</v>
      </c>
      <c r="AP57" s="114">
        <f>T57</f>
        <v>59</v>
      </c>
    </row>
    <row r="58" spans="3:64" ht="14.25" customHeight="1">
      <c r="C58" s="223"/>
      <c r="D58" s="6"/>
      <c r="E58" s="6"/>
      <c r="F58" s="6"/>
      <c r="G58" s="6"/>
      <c r="H58" s="6"/>
      <c r="I58" s="28"/>
      <c r="J58" s="229"/>
      <c r="K58" s="229"/>
      <c r="L58" s="229"/>
      <c r="M58" s="229"/>
      <c r="U58" s="41"/>
      <c r="V58" s="41"/>
      <c r="W58" s="41"/>
      <c r="X58" s="41"/>
      <c r="Y58" s="41"/>
      <c r="AD58" s="41"/>
      <c r="AE58" s="24"/>
      <c r="AH58" s="41"/>
      <c r="AI58" s="24"/>
      <c r="AJ58" s="24"/>
      <c r="AN58" s="24"/>
      <c r="AO58" s="41"/>
      <c r="AU58" s="41"/>
      <c r="AV58" s="41"/>
      <c r="AW58" s="41"/>
      <c r="BA58" s="41"/>
      <c r="BB58" s="41"/>
      <c r="BC58" s="41"/>
      <c r="BD58" s="41"/>
      <c r="BE58" s="41"/>
      <c r="BF58" s="41"/>
      <c r="BG58" s="41"/>
      <c r="BI58" s="41"/>
      <c r="BJ58" s="41"/>
      <c r="BK58" s="41"/>
      <c r="BL58" s="41"/>
    </row>
    <row r="59" spans="3:64" ht="14.25" customHeight="1">
      <c r="C59" s="223"/>
      <c r="D59" s="6"/>
      <c r="E59" s="6"/>
      <c r="F59" s="6"/>
      <c r="G59" s="6"/>
      <c r="H59" s="6"/>
      <c r="I59" s="28"/>
      <c r="J59" s="229"/>
      <c r="K59" s="229"/>
      <c r="L59" s="229"/>
      <c r="M59" s="229"/>
      <c r="U59" s="5"/>
      <c r="V59" s="233"/>
      <c r="W59" s="233"/>
      <c r="X59" s="233"/>
      <c r="Y59" s="24"/>
      <c r="AD59" s="5"/>
      <c r="AE59" s="41"/>
      <c r="AH59" s="5"/>
      <c r="AK59" s="41"/>
      <c r="AM59" s="41"/>
      <c r="AN59" s="41"/>
      <c r="AO59" s="41"/>
      <c r="AR59" s="24"/>
      <c r="AS59" s="24"/>
      <c r="AT59" s="24"/>
      <c r="AU59" s="41"/>
      <c r="AV59" s="41"/>
      <c r="AW59" s="41"/>
      <c r="AX59" s="24"/>
      <c r="AY59" s="24"/>
      <c r="AZ59" s="24"/>
      <c r="BJ59" s="41"/>
      <c r="BK59" s="41"/>
      <c r="BL59" s="41"/>
    </row>
    <row r="60" spans="60:65" ht="13.5" customHeight="1">
      <c r="BH60" s="24"/>
      <c r="BI60" s="41"/>
      <c r="BJ60" s="5"/>
      <c r="BM60" s="24"/>
    </row>
    <row r="61" spans="3:9" ht="13.5" customHeight="1">
      <c r="C61" s="400"/>
      <c r="D61" s="400"/>
      <c r="E61" s="400"/>
      <c r="F61" s="400"/>
      <c r="G61" s="400"/>
      <c r="H61" s="400"/>
      <c r="I61" s="400"/>
    </row>
    <row r="62" spans="3:9" ht="13.5" customHeight="1">
      <c r="C62" s="400"/>
      <c r="D62" s="400"/>
      <c r="E62" s="400"/>
      <c r="F62" s="400"/>
      <c r="G62" s="400"/>
      <c r="H62" s="400"/>
      <c r="I62" s="400"/>
    </row>
    <row r="63" spans="3:9" ht="13.5" customHeight="1">
      <c r="C63" s="400"/>
      <c r="D63" s="400"/>
      <c r="E63" s="400"/>
      <c r="F63" s="400"/>
      <c r="G63" s="400"/>
      <c r="H63" s="400"/>
      <c r="I63" s="400"/>
    </row>
    <row r="64" ht="13.5" customHeight="1"/>
    <row r="105" ht="12" customHeight="1"/>
    <row r="106" spans="15:21" ht="14.25" customHeight="1">
      <c r="O106" s="305" t="s">
        <v>178</v>
      </c>
      <c r="P106" s="305"/>
      <c r="Q106" s="305"/>
      <c r="R106" s="304" t="s">
        <v>179</v>
      </c>
      <c r="S106" s="304"/>
      <c r="T106" s="304"/>
      <c r="U106" s="304"/>
    </row>
    <row r="107" spans="15:21" ht="14.25" customHeight="1">
      <c r="O107" s="71" t="s">
        <v>157</v>
      </c>
      <c r="P107" s="71" t="s">
        <v>100</v>
      </c>
      <c r="Q107" s="71" t="s">
        <v>104</v>
      </c>
      <c r="R107" s="77" t="s">
        <v>158</v>
      </c>
      <c r="S107" s="77" t="s">
        <v>100</v>
      </c>
      <c r="T107" s="77" t="s">
        <v>104</v>
      </c>
      <c r="U107" s="77" t="s">
        <v>107</v>
      </c>
    </row>
    <row r="108" spans="15:21" ht="14.25" customHeight="1">
      <c r="O108" s="159">
        <v>5000</v>
      </c>
      <c r="P108" s="160">
        <v>29.47</v>
      </c>
      <c r="Q108" s="160">
        <v>40.57</v>
      </c>
      <c r="R108" s="62">
        <v>5000</v>
      </c>
      <c r="S108" s="63">
        <v>22.95</v>
      </c>
      <c r="T108" s="63">
        <v>37.95</v>
      </c>
      <c r="U108" s="63">
        <v>4.75</v>
      </c>
    </row>
    <row r="109" spans="15:21" ht="14.25" customHeight="1">
      <c r="O109" s="159">
        <v>10000</v>
      </c>
      <c r="P109" s="160">
        <v>26.88</v>
      </c>
      <c r="Q109" s="160">
        <v>37.48</v>
      </c>
      <c r="R109" s="62">
        <v>10000</v>
      </c>
      <c r="S109" s="63">
        <v>21.95</v>
      </c>
      <c r="T109" s="63">
        <v>34.95</v>
      </c>
      <c r="U109" s="63">
        <v>4.5</v>
      </c>
    </row>
    <row r="110" spans="15:21" ht="14.25" customHeight="1">
      <c r="O110" s="159">
        <v>15000</v>
      </c>
      <c r="P110" s="160">
        <v>25.24</v>
      </c>
      <c r="Q110" s="160">
        <v>35.34</v>
      </c>
      <c r="R110" s="62">
        <v>15000</v>
      </c>
      <c r="S110" s="63">
        <v>20.95</v>
      </c>
      <c r="T110" s="63">
        <v>32.95</v>
      </c>
      <c r="U110" s="63">
        <v>4.25</v>
      </c>
    </row>
    <row r="111" spans="15:21" ht="14.25" customHeight="1">
      <c r="O111" s="159">
        <v>20000</v>
      </c>
      <c r="P111" s="160">
        <v>22.65</v>
      </c>
      <c r="Q111" s="160">
        <v>32.25</v>
      </c>
      <c r="R111" s="62">
        <v>20000</v>
      </c>
      <c r="S111" s="63">
        <v>19.95</v>
      </c>
      <c r="T111" s="63">
        <v>29.95</v>
      </c>
      <c r="U111" s="63">
        <v>4</v>
      </c>
    </row>
  </sheetData>
  <sheetProtection selectLockedCells="1" selectUnlockedCells="1"/>
  <mergeCells count="5">
    <mergeCell ref="R1:T1"/>
    <mergeCell ref="C61:I61"/>
    <mergeCell ref="C62:I62"/>
    <mergeCell ref="C63:I63"/>
    <mergeCell ref="AC8:AF8"/>
  </mergeCells>
  <printOptions/>
  <pageMargins left="0.25" right="0.25" top="0.75" bottom="0.75" header="0.3" footer="0.3"/>
  <pageSetup fitToHeight="0" fitToWidth="1" orientation="landscape" paperSize="5" scale="48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1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3" sqref="P3"/>
    </sheetView>
  </sheetViews>
  <sheetFormatPr defaultColWidth="8.8515625" defaultRowHeight="15"/>
  <cols>
    <col min="1" max="1" width="2.28125" style="0" bestFit="1" customWidth="1"/>
    <col min="2" max="2" width="18.421875" style="0" bestFit="1" customWidth="1"/>
    <col min="3" max="3" width="9.8515625" style="0" bestFit="1" customWidth="1"/>
    <col min="4" max="4" width="14.421875" style="0" bestFit="1" customWidth="1"/>
    <col min="5" max="5" width="5.28125" style="0" bestFit="1" customWidth="1"/>
    <col min="6" max="6" width="9.28125" style="0" customWidth="1"/>
    <col min="7" max="14" width="9.8515625" style="0" bestFit="1" customWidth="1"/>
    <col min="15" max="15" width="23.140625" style="0" bestFit="1" customWidth="1"/>
    <col min="16" max="21" width="9.8515625" style="0" bestFit="1" customWidth="1"/>
    <col min="22" max="26" width="8.421875" style="0" bestFit="1" customWidth="1"/>
    <col min="27" max="27" width="9.8515625" style="0" bestFit="1" customWidth="1"/>
  </cols>
  <sheetData>
    <row r="1" spans="13:16" ht="18.75">
      <c r="M1" s="401"/>
      <c r="N1" s="401"/>
      <c r="O1" s="401"/>
      <c r="P1" s="401"/>
    </row>
    <row r="2" spans="12:16" ht="15">
      <c r="L2" s="29"/>
      <c r="M2" s="30"/>
      <c r="N2" s="30"/>
      <c r="O2" s="31" t="s">
        <v>54</v>
      </c>
      <c r="P2" s="346">
        <v>0.005</v>
      </c>
    </row>
    <row r="3" spans="12:16" ht="15">
      <c r="L3" s="29"/>
      <c r="M3" s="402" t="s">
        <v>55</v>
      </c>
      <c r="N3" s="402"/>
      <c r="O3" s="402"/>
      <c r="P3" s="346">
        <v>0.0025</v>
      </c>
    </row>
    <row r="4" ht="15">
      <c r="C4" s="32" t="s">
        <v>56</v>
      </c>
    </row>
    <row r="5" spans="2:27" ht="15">
      <c r="B5" s="32" t="s">
        <v>27</v>
      </c>
      <c r="C5" s="32" t="s">
        <v>57</v>
      </c>
      <c r="D5" s="33"/>
      <c r="E5" s="33" t="s">
        <v>58</v>
      </c>
      <c r="F5" s="33" t="s">
        <v>59</v>
      </c>
      <c r="G5" s="33" t="s">
        <v>60</v>
      </c>
      <c r="H5" s="33" t="s">
        <v>61</v>
      </c>
      <c r="I5" s="33" t="s">
        <v>62</v>
      </c>
      <c r="J5" s="33" t="s">
        <v>63</v>
      </c>
      <c r="K5" s="33" t="s">
        <v>64</v>
      </c>
      <c r="L5" s="33" t="s">
        <v>65</v>
      </c>
      <c r="M5" s="33" t="s">
        <v>66</v>
      </c>
      <c r="N5" s="33" t="s">
        <v>67</v>
      </c>
      <c r="O5" s="33" t="s">
        <v>68</v>
      </c>
      <c r="P5" s="33" t="s">
        <v>69</v>
      </c>
      <c r="Q5" s="33" t="s">
        <v>70</v>
      </c>
      <c r="R5" s="33" t="s">
        <v>71</v>
      </c>
      <c r="S5" s="33" t="s">
        <v>72</v>
      </c>
      <c r="T5" s="33" t="s">
        <v>73</v>
      </c>
      <c r="U5" s="33" t="s">
        <v>74</v>
      </c>
      <c r="V5" s="33" t="s">
        <v>75</v>
      </c>
      <c r="W5" s="33" t="s">
        <v>76</v>
      </c>
      <c r="X5" s="33" t="s">
        <v>77</v>
      </c>
      <c r="Y5" s="33" t="s">
        <v>78</v>
      </c>
      <c r="Z5" s="33" t="s">
        <v>79</v>
      </c>
      <c r="AA5" s="34" t="s">
        <v>80</v>
      </c>
    </row>
    <row r="6" spans="2:27" ht="15">
      <c r="B6" s="32"/>
      <c r="C6" s="32"/>
      <c r="D6" s="35" t="s">
        <v>81</v>
      </c>
      <c r="E6" s="36">
        <f>P2</f>
        <v>0.005</v>
      </c>
      <c r="F6" s="36">
        <f>E6+$P$3</f>
        <v>0.0075</v>
      </c>
      <c r="G6" s="36">
        <f aca="true" t="shared" si="0" ref="G6:Y6">F6+$P$3</f>
        <v>0.01</v>
      </c>
      <c r="H6" s="36">
        <f t="shared" si="0"/>
        <v>0.0125</v>
      </c>
      <c r="I6" s="36">
        <f t="shared" si="0"/>
        <v>0.015000000000000001</v>
      </c>
      <c r="J6" s="36">
        <f t="shared" si="0"/>
        <v>0.0175</v>
      </c>
      <c r="K6" s="36">
        <f t="shared" si="0"/>
        <v>0.02</v>
      </c>
      <c r="L6" s="36">
        <f t="shared" si="0"/>
        <v>0.0225</v>
      </c>
      <c r="M6" s="36">
        <f t="shared" si="0"/>
        <v>0.024999999999999998</v>
      </c>
      <c r="N6" s="36">
        <f t="shared" si="0"/>
        <v>0.027499999999999997</v>
      </c>
      <c r="O6" s="36">
        <f t="shared" si="0"/>
        <v>0.029999999999999995</v>
      </c>
      <c r="P6" s="36">
        <f t="shared" si="0"/>
        <v>0.032499999999999994</v>
      </c>
      <c r="Q6" s="36">
        <f t="shared" si="0"/>
        <v>0.034999999999999996</v>
      </c>
      <c r="R6" s="36">
        <f t="shared" si="0"/>
        <v>0.0375</v>
      </c>
      <c r="S6" s="36">
        <f t="shared" si="0"/>
        <v>0.04</v>
      </c>
      <c r="T6" s="36">
        <f t="shared" si="0"/>
        <v>0.0425</v>
      </c>
      <c r="U6" s="36">
        <f t="shared" si="0"/>
        <v>0.045000000000000005</v>
      </c>
      <c r="V6" s="36">
        <f t="shared" si="0"/>
        <v>0.04750000000000001</v>
      </c>
      <c r="W6" s="36">
        <f t="shared" si="0"/>
        <v>0.05000000000000001</v>
      </c>
      <c r="X6" s="36">
        <f t="shared" si="0"/>
        <v>0.05250000000000001</v>
      </c>
      <c r="Y6" s="36">
        <f t="shared" si="0"/>
        <v>0.055000000000000014</v>
      </c>
      <c r="Z6" s="36">
        <f>Y6+$P$3</f>
        <v>0.057500000000000016</v>
      </c>
      <c r="AA6" s="32"/>
    </row>
    <row r="7" spans="2:27" ht="15">
      <c r="B7" s="32"/>
      <c r="C7" s="32"/>
      <c r="D7" s="32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2"/>
    </row>
    <row r="8" spans="2:27" ht="18.75">
      <c r="B8" s="32"/>
      <c r="C8" s="32"/>
      <c r="D8" s="401" t="s">
        <v>82</v>
      </c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</row>
    <row r="9" spans="1:27" ht="15">
      <c r="A9" t="s">
        <v>33</v>
      </c>
      <c r="B9" s="38" t="s">
        <v>1</v>
      </c>
      <c r="C9" s="39">
        <v>2300000</v>
      </c>
      <c r="D9" s="39" t="s">
        <v>57</v>
      </c>
      <c r="E9" s="39">
        <v>0</v>
      </c>
      <c r="F9" s="39">
        <f>0.25*C9</f>
        <v>575000</v>
      </c>
      <c r="G9" s="39">
        <f>0.5*C9</f>
        <v>1150000</v>
      </c>
      <c r="H9" s="39">
        <f>0.25*C9</f>
        <v>575000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2:27" ht="15">
      <c r="B10" s="32"/>
      <c r="C10" s="32"/>
      <c r="D10" s="39" t="s">
        <v>83</v>
      </c>
      <c r="E10" s="39">
        <v>0</v>
      </c>
      <c r="F10" s="39">
        <f>F9</f>
        <v>575000</v>
      </c>
      <c r="G10" s="39">
        <f>F9+G9</f>
        <v>1725000</v>
      </c>
      <c r="H10" s="39">
        <f>F9+G9+H9</f>
        <v>2300000</v>
      </c>
      <c r="I10" s="39">
        <f>H10-$H10/18</f>
        <v>2172222.222222222</v>
      </c>
      <c r="J10" s="39">
        <f aca="true" t="shared" si="1" ref="J10:Z10">I10-$H10/18</f>
        <v>2044444.4444444443</v>
      </c>
      <c r="K10" s="39">
        <f t="shared" si="1"/>
        <v>1916666.6666666665</v>
      </c>
      <c r="L10" s="39">
        <f t="shared" si="1"/>
        <v>1788888.8888888888</v>
      </c>
      <c r="M10" s="39">
        <f t="shared" si="1"/>
        <v>1661111.111111111</v>
      </c>
      <c r="N10" s="39">
        <f t="shared" si="1"/>
        <v>1533333.3333333333</v>
      </c>
      <c r="O10" s="39">
        <f t="shared" si="1"/>
        <v>1405555.5555555555</v>
      </c>
      <c r="P10" s="39">
        <f t="shared" si="1"/>
        <v>1277777.7777777778</v>
      </c>
      <c r="Q10" s="39">
        <f t="shared" si="1"/>
        <v>1150000</v>
      </c>
      <c r="R10" s="39">
        <f t="shared" si="1"/>
        <v>1022222.2222222222</v>
      </c>
      <c r="S10" s="39">
        <f t="shared" si="1"/>
        <v>894444.4444444445</v>
      </c>
      <c r="T10" s="39">
        <f t="shared" si="1"/>
        <v>766666.6666666667</v>
      </c>
      <c r="U10" s="39">
        <f t="shared" si="1"/>
        <v>638888.888888889</v>
      </c>
      <c r="V10" s="39">
        <f t="shared" si="1"/>
        <v>511111.11111111124</v>
      </c>
      <c r="W10" s="39">
        <f t="shared" si="1"/>
        <v>383333.3333333335</v>
      </c>
      <c r="X10" s="39">
        <f t="shared" si="1"/>
        <v>255555.5555555557</v>
      </c>
      <c r="Y10" s="39">
        <f t="shared" si="1"/>
        <v>127777.77777777793</v>
      </c>
      <c r="Z10" s="39">
        <f t="shared" si="1"/>
        <v>1.4551915228366852E-10</v>
      </c>
      <c r="AA10" s="39"/>
    </row>
    <row r="11" spans="2:27" ht="15">
      <c r="B11" s="32"/>
      <c r="C11" s="32"/>
      <c r="D11" s="39" t="s">
        <v>84</v>
      </c>
      <c r="E11" s="39">
        <v>0</v>
      </c>
      <c r="F11" s="39">
        <f>$E$6*E10</f>
        <v>0</v>
      </c>
      <c r="G11" s="39">
        <f>F10*$F$6</f>
        <v>4312.5</v>
      </c>
      <c r="H11" s="39">
        <f>G10*$G$6</f>
        <v>17250</v>
      </c>
      <c r="I11" s="39">
        <f>H10*$H$6</f>
        <v>28750</v>
      </c>
      <c r="J11" s="39">
        <f>I10*$I$6</f>
        <v>32583.333333333332</v>
      </c>
      <c r="K11" s="39">
        <f>J10*$J$6</f>
        <v>35777.77777777778</v>
      </c>
      <c r="L11" s="39">
        <f>K10*K6</f>
        <v>38333.33333333333</v>
      </c>
      <c r="M11" s="39">
        <f>L10*$L$6</f>
        <v>40249.99999999999</v>
      </c>
      <c r="N11" s="39">
        <f>M10*$M$6</f>
        <v>41527.777777777774</v>
      </c>
      <c r="O11" s="39">
        <f>N10*$N$6</f>
        <v>42166.66666666666</v>
      </c>
      <c r="P11" s="39">
        <f>O10*$O$6</f>
        <v>42166.66666666666</v>
      </c>
      <c r="Q11" s="39">
        <f>P10*$P$6</f>
        <v>41527.77777777777</v>
      </c>
      <c r="R11" s="39">
        <f>Q10*$Q$6</f>
        <v>40249.99999999999</v>
      </c>
      <c r="S11" s="39">
        <f>R10*$R$6</f>
        <v>38333.333333333336</v>
      </c>
      <c r="T11" s="39">
        <f>S10*$S$6</f>
        <v>35777.77777777778</v>
      </c>
      <c r="U11" s="39">
        <f>T10*$T$6</f>
        <v>32583.33333333334</v>
      </c>
      <c r="V11" s="39">
        <f>U10*$U$6</f>
        <v>28750.000000000007</v>
      </c>
      <c r="W11" s="39">
        <f>V10*$V$6</f>
        <v>24277.77777777779</v>
      </c>
      <c r="X11" s="39">
        <f>W10*$W$6</f>
        <v>19166.66666666668</v>
      </c>
      <c r="Y11" s="39">
        <f>X10*$X$6</f>
        <v>13416.666666666677</v>
      </c>
      <c r="Z11" s="39">
        <f>Y10*$Y$6</f>
        <v>7027.777777777787</v>
      </c>
      <c r="AA11" s="39">
        <f>SUM(E11:Z11)</f>
        <v>604229.1666666665</v>
      </c>
    </row>
    <row r="12" spans="2:27" ht="15">
      <c r="B12" s="32"/>
      <c r="C12" s="32"/>
      <c r="D12" s="39" t="s">
        <v>85</v>
      </c>
      <c r="E12" s="39">
        <v>0</v>
      </c>
      <c r="F12" s="39">
        <v>0</v>
      </c>
      <c r="G12" s="39">
        <v>0</v>
      </c>
      <c r="H12" s="39"/>
      <c r="I12" s="39">
        <f>$H10/18</f>
        <v>127777.77777777778</v>
      </c>
      <c r="J12" s="39">
        <f aca="true" t="shared" si="2" ref="J12:Z12">$H10/18</f>
        <v>127777.77777777778</v>
      </c>
      <c r="K12" s="39">
        <f t="shared" si="2"/>
        <v>127777.77777777778</v>
      </c>
      <c r="L12" s="39">
        <f t="shared" si="2"/>
        <v>127777.77777777778</v>
      </c>
      <c r="M12" s="39">
        <f t="shared" si="2"/>
        <v>127777.77777777778</v>
      </c>
      <c r="N12" s="39">
        <f t="shared" si="2"/>
        <v>127777.77777777778</v>
      </c>
      <c r="O12" s="39">
        <f t="shared" si="2"/>
        <v>127777.77777777778</v>
      </c>
      <c r="P12" s="39">
        <f t="shared" si="2"/>
        <v>127777.77777777778</v>
      </c>
      <c r="Q12" s="39">
        <f t="shared" si="2"/>
        <v>127777.77777777778</v>
      </c>
      <c r="R12" s="39">
        <f t="shared" si="2"/>
        <v>127777.77777777778</v>
      </c>
      <c r="S12" s="39">
        <f t="shared" si="2"/>
        <v>127777.77777777778</v>
      </c>
      <c r="T12" s="39">
        <f t="shared" si="2"/>
        <v>127777.77777777778</v>
      </c>
      <c r="U12" s="39">
        <f t="shared" si="2"/>
        <v>127777.77777777778</v>
      </c>
      <c r="V12" s="39">
        <f t="shared" si="2"/>
        <v>127777.77777777778</v>
      </c>
      <c r="W12" s="39">
        <f t="shared" si="2"/>
        <v>127777.77777777778</v>
      </c>
      <c r="X12" s="39">
        <f t="shared" si="2"/>
        <v>127777.77777777778</v>
      </c>
      <c r="Y12" s="39">
        <f t="shared" si="2"/>
        <v>127777.77777777778</v>
      </c>
      <c r="Z12" s="39">
        <f t="shared" si="2"/>
        <v>127777.77777777778</v>
      </c>
      <c r="AA12" s="39">
        <f>SUM(E12:Z12)</f>
        <v>2300000</v>
      </c>
    </row>
    <row r="13" spans="2:27" ht="15">
      <c r="B13" s="32"/>
      <c r="C13" s="32"/>
      <c r="D13" s="39" t="s">
        <v>86</v>
      </c>
      <c r="E13" s="39">
        <v>0</v>
      </c>
      <c r="F13" s="39">
        <f>F11+F12</f>
        <v>0</v>
      </c>
      <c r="G13" s="39">
        <f aca="true" t="shared" si="3" ref="G13:Z13">G11+G12</f>
        <v>4312.5</v>
      </c>
      <c r="H13" s="39">
        <f t="shared" si="3"/>
        <v>17250</v>
      </c>
      <c r="I13" s="39">
        <f t="shared" si="3"/>
        <v>156527.77777777778</v>
      </c>
      <c r="J13" s="39">
        <f t="shared" si="3"/>
        <v>160361.11111111112</v>
      </c>
      <c r="K13" s="39">
        <f t="shared" si="3"/>
        <v>163555.55555555556</v>
      </c>
      <c r="L13" s="39">
        <f t="shared" si="3"/>
        <v>166111.11111111112</v>
      </c>
      <c r="M13" s="39">
        <f t="shared" si="3"/>
        <v>168027.77777777778</v>
      </c>
      <c r="N13" s="39">
        <f t="shared" si="3"/>
        <v>169305.55555555556</v>
      </c>
      <c r="O13" s="39">
        <f t="shared" si="3"/>
        <v>169944.44444444444</v>
      </c>
      <c r="P13" s="39">
        <f t="shared" si="3"/>
        <v>169944.44444444444</v>
      </c>
      <c r="Q13" s="39">
        <f t="shared" si="3"/>
        <v>169305.55555555556</v>
      </c>
      <c r="R13" s="39">
        <f t="shared" si="3"/>
        <v>168027.77777777778</v>
      </c>
      <c r="S13" s="39">
        <f t="shared" si="3"/>
        <v>166111.11111111112</v>
      </c>
      <c r="T13" s="39">
        <f t="shared" si="3"/>
        <v>163555.55555555556</v>
      </c>
      <c r="U13" s="39">
        <f t="shared" si="3"/>
        <v>160361.11111111112</v>
      </c>
      <c r="V13" s="39">
        <f t="shared" si="3"/>
        <v>156527.77777777778</v>
      </c>
      <c r="W13" s="39">
        <f t="shared" si="3"/>
        <v>152055.55555555556</v>
      </c>
      <c r="X13" s="39">
        <f t="shared" si="3"/>
        <v>146944.44444444447</v>
      </c>
      <c r="Y13" s="39">
        <f t="shared" si="3"/>
        <v>141194.44444444447</v>
      </c>
      <c r="Z13" s="39">
        <f t="shared" si="3"/>
        <v>134805.55555555556</v>
      </c>
      <c r="AA13" s="40">
        <f>SUM(E13:Z13)</f>
        <v>2904229.1666666665</v>
      </c>
    </row>
    <row r="14" spans="2:27" ht="15">
      <c r="B14" s="32" t="s">
        <v>87</v>
      </c>
      <c r="C14" s="39">
        <f>C9+770000</f>
        <v>3070000</v>
      </c>
      <c r="D14" s="39" t="s">
        <v>88</v>
      </c>
      <c r="E14" s="39"/>
      <c r="F14" s="39"/>
      <c r="G14" s="39"/>
      <c r="H14" s="39">
        <f>$C$14*0.65*0.03</f>
        <v>59865</v>
      </c>
      <c r="I14" s="39">
        <f aca="true" t="shared" si="4" ref="I14:Z14">$C$14*0.65*0.03</f>
        <v>59865</v>
      </c>
      <c r="J14" s="39">
        <f t="shared" si="4"/>
        <v>59865</v>
      </c>
      <c r="K14" s="39">
        <f t="shared" si="4"/>
        <v>59865</v>
      </c>
      <c r="L14" s="39">
        <f t="shared" si="4"/>
        <v>59865</v>
      </c>
      <c r="M14" s="39">
        <f t="shared" si="4"/>
        <v>59865</v>
      </c>
      <c r="N14" s="39">
        <f t="shared" si="4"/>
        <v>59865</v>
      </c>
      <c r="O14" s="39">
        <f t="shared" si="4"/>
        <v>59865</v>
      </c>
      <c r="P14" s="39">
        <f t="shared" si="4"/>
        <v>59865</v>
      </c>
      <c r="Q14" s="39">
        <f t="shared" si="4"/>
        <v>59865</v>
      </c>
      <c r="R14" s="39">
        <f t="shared" si="4"/>
        <v>59865</v>
      </c>
      <c r="S14" s="39">
        <f t="shared" si="4"/>
        <v>59865</v>
      </c>
      <c r="T14" s="39">
        <f t="shared" si="4"/>
        <v>59865</v>
      </c>
      <c r="U14" s="39">
        <f t="shared" si="4"/>
        <v>59865</v>
      </c>
      <c r="V14" s="39">
        <f t="shared" si="4"/>
        <v>59865</v>
      </c>
      <c r="W14" s="39">
        <f t="shared" si="4"/>
        <v>59865</v>
      </c>
      <c r="X14" s="39">
        <f t="shared" si="4"/>
        <v>59865</v>
      </c>
      <c r="Y14" s="39">
        <f t="shared" si="4"/>
        <v>59865</v>
      </c>
      <c r="Z14" s="39">
        <f t="shared" si="4"/>
        <v>59865</v>
      </c>
      <c r="AA14" s="40">
        <f>SUM(E14:Z14)</f>
        <v>1137435</v>
      </c>
    </row>
    <row r="15" spans="2:27" ht="15">
      <c r="B15" s="32"/>
      <c r="C15" s="32"/>
      <c r="D15" s="40" t="s">
        <v>80</v>
      </c>
      <c r="E15" s="40">
        <f>SUM(E13:E14)</f>
        <v>0</v>
      </c>
      <c r="F15" s="40">
        <f aca="true" t="shared" si="5" ref="F15:Z15">SUM(F13:F14)</f>
        <v>0</v>
      </c>
      <c r="G15" s="40">
        <f t="shared" si="5"/>
        <v>4312.5</v>
      </c>
      <c r="H15" s="40">
        <f t="shared" si="5"/>
        <v>77115</v>
      </c>
      <c r="I15" s="40">
        <f t="shared" si="5"/>
        <v>216392.77777777778</v>
      </c>
      <c r="J15" s="40">
        <f t="shared" si="5"/>
        <v>220226.11111111112</v>
      </c>
      <c r="K15" s="40">
        <f t="shared" si="5"/>
        <v>223420.55555555556</v>
      </c>
      <c r="L15" s="40">
        <f t="shared" si="5"/>
        <v>225976.11111111112</v>
      </c>
      <c r="M15" s="40">
        <f t="shared" si="5"/>
        <v>227892.77777777778</v>
      </c>
      <c r="N15" s="40">
        <f t="shared" si="5"/>
        <v>229170.55555555556</v>
      </c>
      <c r="O15" s="40">
        <f t="shared" si="5"/>
        <v>229809.44444444444</v>
      </c>
      <c r="P15" s="40">
        <f t="shared" si="5"/>
        <v>229809.44444444444</v>
      </c>
      <c r="Q15" s="40">
        <f t="shared" si="5"/>
        <v>229170.55555555556</v>
      </c>
      <c r="R15" s="40">
        <f t="shared" si="5"/>
        <v>227892.77777777778</v>
      </c>
      <c r="S15" s="40">
        <f t="shared" si="5"/>
        <v>225976.11111111112</v>
      </c>
      <c r="T15" s="40">
        <f t="shared" si="5"/>
        <v>223420.55555555556</v>
      </c>
      <c r="U15" s="40">
        <f t="shared" si="5"/>
        <v>220226.11111111112</v>
      </c>
      <c r="V15" s="40">
        <f t="shared" si="5"/>
        <v>216392.77777777778</v>
      </c>
      <c r="W15" s="40">
        <f t="shared" si="5"/>
        <v>211920.55555555556</v>
      </c>
      <c r="X15" s="40">
        <f t="shared" si="5"/>
        <v>206809.44444444447</v>
      </c>
      <c r="Y15" s="40">
        <f t="shared" si="5"/>
        <v>201059.44444444447</v>
      </c>
      <c r="Z15" s="40">
        <f t="shared" si="5"/>
        <v>194670.55555555556</v>
      </c>
      <c r="AA15" s="40">
        <f>SUM(AA13:AA13)</f>
        <v>2904229.1666666665</v>
      </c>
    </row>
    <row r="16" spans="2:27" ht="1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ht="15">
      <c r="A17" t="s">
        <v>32</v>
      </c>
      <c r="B17" s="38" t="s">
        <v>2</v>
      </c>
      <c r="C17" s="39">
        <v>3750000</v>
      </c>
      <c r="D17" s="39" t="s">
        <v>57</v>
      </c>
      <c r="E17" s="39">
        <v>0</v>
      </c>
      <c r="F17" s="39">
        <f>0.25*C17</f>
        <v>937500</v>
      </c>
      <c r="G17" s="39">
        <f>0.5*C17</f>
        <v>1875000</v>
      </c>
      <c r="H17" s="39">
        <f>0.25*C17</f>
        <v>937500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2:27" ht="15">
      <c r="B18" s="32"/>
      <c r="C18" s="32"/>
      <c r="D18" s="39" t="s">
        <v>83</v>
      </c>
      <c r="E18" s="39">
        <v>0</v>
      </c>
      <c r="F18" s="39">
        <f>F17</f>
        <v>937500</v>
      </c>
      <c r="G18" s="39">
        <f>F17+G17</f>
        <v>2812500</v>
      </c>
      <c r="H18" s="39">
        <f>F17+G17+H17</f>
        <v>3750000</v>
      </c>
      <c r="I18" s="39">
        <f>H18-$H18/18</f>
        <v>3541666.6666666665</v>
      </c>
      <c r="J18" s="39">
        <f aca="true" t="shared" si="6" ref="J18:Z18">I18-$H18/18</f>
        <v>3333333.333333333</v>
      </c>
      <c r="K18" s="39">
        <f t="shared" si="6"/>
        <v>3124999.9999999995</v>
      </c>
      <c r="L18" s="39">
        <f t="shared" si="6"/>
        <v>2916666.666666666</v>
      </c>
      <c r="M18" s="39">
        <f t="shared" si="6"/>
        <v>2708333.3333333326</v>
      </c>
      <c r="N18" s="39">
        <f t="shared" si="6"/>
        <v>2499999.999999999</v>
      </c>
      <c r="O18" s="39">
        <f t="shared" si="6"/>
        <v>2291666.6666666656</v>
      </c>
      <c r="P18" s="39">
        <f t="shared" si="6"/>
        <v>2083333.3333333323</v>
      </c>
      <c r="Q18" s="39">
        <f t="shared" si="6"/>
        <v>1874999.999999999</v>
      </c>
      <c r="R18" s="39">
        <f t="shared" si="6"/>
        <v>1666666.6666666658</v>
      </c>
      <c r="S18" s="39">
        <f t="shared" si="6"/>
        <v>1458333.3333333326</v>
      </c>
      <c r="T18" s="39">
        <f t="shared" si="6"/>
        <v>1249999.9999999993</v>
      </c>
      <c r="U18" s="39">
        <f t="shared" si="6"/>
        <v>1041666.6666666659</v>
      </c>
      <c r="V18" s="39">
        <f t="shared" si="6"/>
        <v>833333.3333333326</v>
      </c>
      <c r="W18" s="39">
        <f t="shared" si="6"/>
        <v>624999.9999999992</v>
      </c>
      <c r="X18" s="39">
        <f t="shared" si="6"/>
        <v>416666.6666666658</v>
      </c>
      <c r="Y18" s="39">
        <f t="shared" si="6"/>
        <v>208333.33333333247</v>
      </c>
      <c r="Z18" s="39">
        <f t="shared" si="6"/>
        <v>-8.731149137020111E-10</v>
      </c>
      <c r="AA18" s="39"/>
    </row>
    <row r="19" spans="2:27" ht="15">
      <c r="B19" s="32"/>
      <c r="C19" s="32"/>
      <c r="D19" s="39" t="s">
        <v>84</v>
      </c>
      <c r="E19" s="39">
        <v>0</v>
      </c>
      <c r="F19" s="39">
        <f>$E$6*E18</f>
        <v>0</v>
      </c>
      <c r="G19" s="39">
        <f>F18*$F$6</f>
        <v>7031.25</v>
      </c>
      <c r="H19" s="39">
        <f>G18*$G$6</f>
        <v>28125</v>
      </c>
      <c r="I19" s="39">
        <f>H18*$H$6</f>
        <v>46875</v>
      </c>
      <c r="J19" s="39">
        <f>I18*$I$6</f>
        <v>53125</v>
      </c>
      <c r="K19" s="39">
        <f>J18*$J$6</f>
        <v>58333.333333333336</v>
      </c>
      <c r="L19" s="39">
        <f>K18*$K$6</f>
        <v>62499.99999999999</v>
      </c>
      <c r="M19" s="39">
        <f>L18*$L$6</f>
        <v>65624.99999999999</v>
      </c>
      <c r="N19" s="39">
        <f>M18*$M$6</f>
        <v>67708.33333333331</v>
      </c>
      <c r="O19" s="39">
        <f>N18*$N$6</f>
        <v>68749.99999999997</v>
      </c>
      <c r="P19" s="39">
        <f>O18*$O$6</f>
        <v>68749.99999999996</v>
      </c>
      <c r="Q19" s="39">
        <f>P18*$P$6</f>
        <v>67708.33333333328</v>
      </c>
      <c r="R19" s="39">
        <f>Q18*$Q$6</f>
        <v>65624.99999999996</v>
      </c>
      <c r="S19" s="39">
        <f>R18*$R$6</f>
        <v>62499.99999999996</v>
      </c>
      <c r="T19" s="39">
        <f>S18*$S$6</f>
        <v>58333.33333333331</v>
      </c>
      <c r="U19" s="39">
        <f>T18*$T$6</f>
        <v>53124.99999999997</v>
      </c>
      <c r="V19" s="39">
        <f>U18*$U$6</f>
        <v>46874.99999999997</v>
      </c>
      <c r="W19" s="39">
        <f>V18*$V$6</f>
        <v>39583.3333333333</v>
      </c>
      <c r="X19" s="39">
        <f>W18*$W$6</f>
        <v>31249.999999999964</v>
      </c>
      <c r="Y19" s="39">
        <f>X18*$X$6</f>
        <v>21874.99999999996</v>
      </c>
      <c r="Z19" s="39">
        <f>Y18*$Y$6</f>
        <v>11458.333333333288</v>
      </c>
      <c r="AA19" s="39">
        <f>SUM(E19:Z19)</f>
        <v>985156.2499999997</v>
      </c>
    </row>
    <row r="20" spans="2:27" ht="15">
      <c r="B20" s="32"/>
      <c r="C20" s="32"/>
      <c r="D20" s="39" t="s">
        <v>85</v>
      </c>
      <c r="E20" s="39">
        <v>0</v>
      </c>
      <c r="F20" s="39">
        <v>0</v>
      </c>
      <c r="G20" s="39">
        <v>0</v>
      </c>
      <c r="H20" s="39"/>
      <c r="I20" s="39">
        <f>$H18/18</f>
        <v>208333.33333333334</v>
      </c>
      <c r="J20" s="39">
        <f aca="true" t="shared" si="7" ref="J20:Z20">$H18/18</f>
        <v>208333.33333333334</v>
      </c>
      <c r="K20" s="39">
        <f t="shared" si="7"/>
        <v>208333.33333333334</v>
      </c>
      <c r="L20" s="39">
        <f t="shared" si="7"/>
        <v>208333.33333333334</v>
      </c>
      <c r="M20" s="39">
        <f t="shared" si="7"/>
        <v>208333.33333333334</v>
      </c>
      <c r="N20" s="39">
        <f t="shared" si="7"/>
        <v>208333.33333333334</v>
      </c>
      <c r="O20" s="39">
        <f t="shared" si="7"/>
        <v>208333.33333333334</v>
      </c>
      <c r="P20" s="39">
        <f t="shared" si="7"/>
        <v>208333.33333333334</v>
      </c>
      <c r="Q20" s="39">
        <f t="shared" si="7"/>
        <v>208333.33333333334</v>
      </c>
      <c r="R20" s="39">
        <f t="shared" si="7"/>
        <v>208333.33333333334</v>
      </c>
      <c r="S20" s="39">
        <f t="shared" si="7"/>
        <v>208333.33333333334</v>
      </c>
      <c r="T20" s="39">
        <f t="shared" si="7"/>
        <v>208333.33333333334</v>
      </c>
      <c r="U20" s="39">
        <f t="shared" si="7"/>
        <v>208333.33333333334</v>
      </c>
      <c r="V20" s="39">
        <f t="shared" si="7"/>
        <v>208333.33333333334</v>
      </c>
      <c r="W20" s="39">
        <f t="shared" si="7"/>
        <v>208333.33333333334</v>
      </c>
      <c r="X20" s="39">
        <f t="shared" si="7"/>
        <v>208333.33333333334</v>
      </c>
      <c r="Y20" s="39">
        <f t="shared" si="7"/>
        <v>208333.33333333334</v>
      </c>
      <c r="Z20" s="39">
        <f t="shared" si="7"/>
        <v>208333.33333333334</v>
      </c>
      <c r="AA20" s="39">
        <f>SUM(E20:Z20)</f>
        <v>3750000.000000001</v>
      </c>
    </row>
    <row r="21" spans="2:27" ht="15">
      <c r="B21" s="32"/>
      <c r="C21" s="32"/>
      <c r="D21" s="39" t="s">
        <v>86</v>
      </c>
      <c r="E21" s="39">
        <v>0</v>
      </c>
      <c r="F21" s="39">
        <f>F19+F20</f>
        <v>0</v>
      </c>
      <c r="G21" s="39">
        <f aca="true" t="shared" si="8" ref="G21:Z21">G19+G20</f>
        <v>7031.25</v>
      </c>
      <c r="H21" s="39">
        <f t="shared" si="8"/>
        <v>28125</v>
      </c>
      <c r="I21" s="39">
        <f t="shared" si="8"/>
        <v>255208.33333333334</v>
      </c>
      <c r="J21" s="39">
        <f t="shared" si="8"/>
        <v>261458.33333333334</v>
      </c>
      <c r="K21" s="39">
        <f t="shared" si="8"/>
        <v>266666.6666666667</v>
      </c>
      <c r="L21" s="39">
        <f t="shared" si="8"/>
        <v>270833.3333333333</v>
      </c>
      <c r="M21" s="39">
        <f t="shared" si="8"/>
        <v>273958.3333333333</v>
      </c>
      <c r="N21" s="39">
        <f t="shared" si="8"/>
        <v>276041.6666666666</v>
      </c>
      <c r="O21" s="39">
        <f t="shared" si="8"/>
        <v>277083.3333333333</v>
      </c>
      <c r="P21" s="39">
        <f t="shared" si="8"/>
        <v>277083.3333333333</v>
      </c>
      <c r="Q21" s="39">
        <f t="shared" si="8"/>
        <v>276041.6666666666</v>
      </c>
      <c r="R21" s="39">
        <f t="shared" si="8"/>
        <v>273958.3333333333</v>
      </c>
      <c r="S21" s="39">
        <f t="shared" si="8"/>
        <v>270833.3333333333</v>
      </c>
      <c r="T21" s="39">
        <f t="shared" si="8"/>
        <v>266666.6666666666</v>
      </c>
      <c r="U21" s="39">
        <f t="shared" si="8"/>
        <v>261458.3333333333</v>
      </c>
      <c r="V21" s="39">
        <f t="shared" si="8"/>
        <v>255208.3333333333</v>
      </c>
      <c r="W21" s="39">
        <f t="shared" si="8"/>
        <v>247916.66666666663</v>
      </c>
      <c r="X21" s="39">
        <f t="shared" si="8"/>
        <v>239583.3333333333</v>
      </c>
      <c r="Y21" s="39">
        <f t="shared" si="8"/>
        <v>230208.3333333333</v>
      </c>
      <c r="Z21" s="39">
        <f t="shared" si="8"/>
        <v>219791.66666666663</v>
      </c>
      <c r="AA21" s="40">
        <f>SUM(E21:Z21)</f>
        <v>4735156.25</v>
      </c>
    </row>
    <row r="22" spans="2:27" ht="15">
      <c r="B22" s="32" t="s">
        <v>87</v>
      </c>
      <c r="C22" s="39">
        <f>C17+1290000</f>
        <v>5040000</v>
      </c>
      <c r="D22" s="39" t="s">
        <v>88</v>
      </c>
      <c r="E22" s="39"/>
      <c r="F22" s="39"/>
      <c r="G22" s="39"/>
      <c r="H22" s="39">
        <f>$C$22*0.65*0.03</f>
        <v>98280</v>
      </c>
      <c r="I22" s="39">
        <f aca="true" t="shared" si="9" ref="I22:Z22">$C$22*0.65*0.03</f>
        <v>98280</v>
      </c>
      <c r="J22" s="39">
        <f t="shared" si="9"/>
        <v>98280</v>
      </c>
      <c r="K22" s="39">
        <f t="shared" si="9"/>
        <v>98280</v>
      </c>
      <c r="L22" s="39">
        <f t="shared" si="9"/>
        <v>98280</v>
      </c>
      <c r="M22" s="39">
        <f t="shared" si="9"/>
        <v>98280</v>
      </c>
      <c r="N22" s="39">
        <f t="shared" si="9"/>
        <v>98280</v>
      </c>
      <c r="O22" s="39">
        <f t="shared" si="9"/>
        <v>98280</v>
      </c>
      <c r="P22" s="39">
        <f t="shared" si="9"/>
        <v>98280</v>
      </c>
      <c r="Q22" s="39">
        <f t="shared" si="9"/>
        <v>98280</v>
      </c>
      <c r="R22" s="39">
        <f t="shared" si="9"/>
        <v>98280</v>
      </c>
      <c r="S22" s="39">
        <f t="shared" si="9"/>
        <v>98280</v>
      </c>
      <c r="T22" s="39">
        <f t="shared" si="9"/>
        <v>98280</v>
      </c>
      <c r="U22" s="39">
        <f t="shared" si="9"/>
        <v>98280</v>
      </c>
      <c r="V22" s="39">
        <f t="shared" si="9"/>
        <v>98280</v>
      </c>
      <c r="W22" s="39">
        <f t="shared" si="9"/>
        <v>98280</v>
      </c>
      <c r="X22" s="39">
        <f t="shared" si="9"/>
        <v>98280</v>
      </c>
      <c r="Y22" s="39">
        <f t="shared" si="9"/>
        <v>98280</v>
      </c>
      <c r="Z22" s="39">
        <f t="shared" si="9"/>
        <v>98280</v>
      </c>
      <c r="AA22" s="40">
        <f>SUM(E22:Z22)</f>
        <v>1867320</v>
      </c>
    </row>
    <row r="23" spans="2:27" ht="15">
      <c r="B23" s="32"/>
      <c r="C23" s="32"/>
      <c r="D23" s="40" t="s">
        <v>80</v>
      </c>
      <c r="E23" s="40">
        <f>SUM(E21:E22)</f>
        <v>0</v>
      </c>
      <c r="F23" s="40">
        <f aca="true" t="shared" si="10" ref="F23:Z23">SUM(F21:F22)</f>
        <v>0</v>
      </c>
      <c r="G23" s="40">
        <f t="shared" si="10"/>
        <v>7031.25</v>
      </c>
      <c r="H23" s="40">
        <f t="shared" si="10"/>
        <v>126405</v>
      </c>
      <c r="I23" s="40">
        <f t="shared" si="10"/>
        <v>353488.3333333334</v>
      </c>
      <c r="J23" s="40">
        <f t="shared" si="10"/>
        <v>359738.3333333334</v>
      </c>
      <c r="K23" s="40">
        <f t="shared" si="10"/>
        <v>364946.6666666667</v>
      </c>
      <c r="L23" s="40">
        <f t="shared" si="10"/>
        <v>369113.3333333333</v>
      </c>
      <c r="M23" s="40">
        <f t="shared" si="10"/>
        <v>372238.3333333333</v>
      </c>
      <c r="N23" s="40">
        <f t="shared" si="10"/>
        <v>374321.6666666666</v>
      </c>
      <c r="O23" s="40">
        <f t="shared" si="10"/>
        <v>375363.3333333333</v>
      </c>
      <c r="P23" s="40">
        <f t="shared" si="10"/>
        <v>375363.3333333333</v>
      </c>
      <c r="Q23" s="40">
        <f t="shared" si="10"/>
        <v>374321.6666666666</v>
      </c>
      <c r="R23" s="40">
        <f t="shared" si="10"/>
        <v>372238.3333333333</v>
      </c>
      <c r="S23" s="40">
        <f t="shared" si="10"/>
        <v>369113.3333333333</v>
      </c>
      <c r="T23" s="40">
        <f t="shared" si="10"/>
        <v>364946.6666666666</v>
      </c>
      <c r="U23" s="40">
        <f t="shared" si="10"/>
        <v>359738.3333333333</v>
      </c>
      <c r="V23" s="40">
        <f t="shared" si="10"/>
        <v>353488.3333333333</v>
      </c>
      <c r="W23" s="40">
        <f t="shared" si="10"/>
        <v>346196.6666666666</v>
      </c>
      <c r="X23" s="40">
        <f t="shared" si="10"/>
        <v>337863.3333333333</v>
      </c>
      <c r="Y23" s="40">
        <f t="shared" si="10"/>
        <v>328488.3333333333</v>
      </c>
      <c r="Z23" s="40">
        <f t="shared" si="10"/>
        <v>318071.6666666666</v>
      </c>
      <c r="AA23" s="40">
        <f>SUM(AA21:AA21)</f>
        <v>4735156.25</v>
      </c>
    </row>
    <row r="24" spans="2:27" ht="1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27" ht="15">
      <c r="A25" t="s">
        <v>32</v>
      </c>
      <c r="B25" s="38" t="s">
        <v>3</v>
      </c>
      <c r="C25" s="39">
        <v>1760000</v>
      </c>
      <c r="D25" s="39" t="s">
        <v>57</v>
      </c>
      <c r="E25" s="39">
        <v>0</v>
      </c>
      <c r="F25" s="39">
        <f>0.25*C25</f>
        <v>440000</v>
      </c>
      <c r="G25" s="39">
        <f>0.5*C25</f>
        <v>880000</v>
      </c>
      <c r="H25" s="39">
        <f>0.25*C25</f>
        <v>440000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2:27" ht="15">
      <c r="B26" s="32"/>
      <c r="C26" s="32"/>
      <c r="D26" s="39" t="s">
        <v>83</v>
      </c>
      <c r="E26" s="39">
        <v>0</v>
      </c>
      <c r="F26" s="39">
        <f>F25</f>
        <v>440000</v>
      </c>
      <c r="G26" s="39">
        <f>F25+G25</f>
        <v>1320000</v>
      </c>
      <c r="H26" s="39">
        <f>F25+G25+H25</f>
        <v>1760000</v>
      </c>
      <c r="I26" s="39">
        <f>H26-$H26/18</f>
        <v>1662222.2222222222</v>
      </c>
      <c r="J26" s="39">
        <f aca="true" t="shared" si="11" ref="J26:Z26">I26-$H26/18</f>
        <v>1564444.4444444445</v>
      </c>
      <c r="K26" s="39">
        <f t="shared" si="11"/>
        <v>1466666.6666666667</v>
      </c>
      <c r="L26" s="39">
        <f t="shared" si="11"/>
        <v>1368888.888888889</v>
      </c>
      <c r="M26" s="39">
        <f t="shared" si="11"/>
        <v>1271111.1111111112</v>
      </c>
      <c r="N26" s="39">
        <f t="shared" si="11"/>
        <v>1173333.3333333335</v>
      </c>
      <c r="O26" s="39">
        <f t="shared" si="11"/>
        <v>1075555.5555555557</v>
      </c>
      <c r="P26" s="39">
        <f t="shared" si="11"/>
        <v>977777.777777778</v>
      </c>
      <c r="Q26" s="39">
        <f t="shared" si="11"/>
        <v>880000.0000000002</v>
      </c>
      <c r="R26" s="39">
        <f t="shared" si="11"/>
        <v>782222.2222222225</v>
      </c>
      <c r="S26" s="39">
        <f t="shared" si="11"/>
        <v>684444.4444444447</v>
      </c>
      <c r="T26" s="39">
        <f t="shared" si="11"/>
        <v>586666.666666667</v>
      </c>
      <c r="U26" s="39">
        <f t="shared" si="11"/>
        <v>488888.8888888892</v>
      </c>
      <c r="V26" s="39">
        <f t="shared" si="11"/>
        <v>391111.1111111115</v>
      </c>
      <c r="W26" s="39">
        <f t="shared" si="11"/>
        <v>293333.3333333337</v>
      </c>
      <c r="X26" s="39">
        <f t="shared" si="11"/>
        <v>195555.55555555594</v>
      </c>
      <c r="Y26" s="39">
        <f t="shared" si="11"/>
        <v>97777.77777777816</v>
      </c>
      <c r="Z26" s="39">
        <f t="shared" si="11"/>
        <v>3.7834979593753815E-10</v>
      </c>
      <c r="AA26" s="39"/>
    </row>
    <row r="27" spans="2:27" ht="15">
      <c r="B27" s="32"/>
      <c r="C27" s="32"/>
      <c r="D27" s="39" t="s">
        <v>84</v>
      </c>
      <c r="E27" s="39">
        <v>0</v>
      </c>
      <c r="F27" s="39">
        <f>$E$6*E26</f>
        <v>0</v>
      </c>
      <c r="G27" s="39">
        <f>F26*$F$6</f>
        <v>3300</v>
      </c>
      <c r="H27" s="39">
        <f>G26*$G$6</f>
        <v>13200</v>
      </c>
      <c r="I27" s="39">
        <f>H26*$H$6</f>
        <v>22000</v>
      </c>
      <c r="J27" s="39">
        <f>I26*$I$6</f>
        <v>24933.333333333336</v>
      </c>
      <c r="K27" s="39">
        <f>J26*$J$6</f>
        <v>27377.77777777778</v>
      </c>
      <c r="L27" s="39">
        <f>K26*$K$6</f>
        <v>29333.333333333336</v>
      </c>
      <c r="M27" s="39">
        <f>L26*$L$6</f>
        <v>30800</v>
      </c>
      <c r="N27" s="39">
        <f>M26*$M$6</f>
        <v>31777.777777777777</v>
      </c>
      <c r="O27" s="39">
        <f>N26*$N$6</f>
        <v>32266.666666666668</v>
      </c>
      <c r="P27" s="39">
        <f>O26*$O$6</f>
        <v>32266.666666666668</v>
      </c>
      <c r="Q27" s="39">
        <f>P26*$P$6</f>
        <v>31777.777777777777</v>
      </c>
      <c r="R27" s="39">
        <f>Q26*$Q$6</f>
        <v>30800.000000000004</v>
      </c>
      <c r="S27" s="39">
        <f>R26*$R$6</f>
        <v>29333.333333333343</v>
      </c>
      <c r="T27" s="39">
        <f>S26*$S$6</f>
        <v>27377.77777777779</v>
      </c>
      <c r="U27" s="39">
        <f>T26*$T$6</f>
        <v>24933.333333333347</v>
      </c>
      <c r="V27" s="39">
        <f>U26*$U$6</f>
        <v>22000.00000000002</v>
      </c>
      <c r="W27" s="39">
        <f>V26*$V$6</f>
        <v>18577.7777777778</v>
      </c>
      <c r="X27" s="39">
        <f>W26*$W$6</f>
        <v>14666.66666666669</v>
      </c>
      <c r="Y27" s="39">
        <f>X26*$X$6</f>
        <v>10266.66666666669</v>
      </c>
      <c r="Z27" s="39">
        <f>Y26*$Y$6</f>
        <v>5377.7777777778</v>
      </c>
      <c r="AA27" s="39">
        <f>SUM(E27:Z27)</f>
        <v>462366.6666666668</v>
      </c>
    </row>
    <row r="28" spans="2:27" ht="15">
      <c r="B28" s="32"/>
      <c r="C28" s="32"/>
      <c r="D28" s="39" t="s">
        <v>85</v>
      </c>
      <c r="E28" s="39">
        <v>0</v>
      </c>
      <c r="F28" s="39">
        <v>0</v>
      </c>
      <c r="G28" s="39">
        <v>0</v>
      </c>
      <c r="H28" s="39"/>
      <c r="I28" s="39">
        <f>$H26/18</f>
        <v>97777.77777777778</v>
      </c>
      <c r="J28" s="39">
        <f aca="true" t="shared" si="12" ref="J28:Z28">$H26/18</f>
        <v>97777.77777777778</v>
      </c>
      <c r="K28" s="39">
        <f t="shared" si="12"/>
        <v>97777.77777777778</v>
      </c>
      <c r="L28" s="39">
        <f t="shared" si="12"/>
        <v>97777.77777777778</v>
      </c>
      <c r="M28" s="39">
        <f t="shared" si="12"/>
        <v>97777.77777777778</v>
      </c>
      <c r="N28" s="39">
        <f t="shared" si="12"/>
        <v>97777.77777777778</v>
      </c>
      <c r="O28" s="39">
        <f t="shared" si="12"/>
        <v>97777.77777777778</v>
      </c>
      <c r="P28" s="39">
        <f t="shared" si="12"/>
        <v>97777.77777777778</v>
      </c>
      <c r="Q28" s="39">
        <f t="shared" si="12"/>
        <v>97777.77777777778</v>
      </c>
      <c r="R28" s="39">
        <f t="shared" si="12"/>
        <v>97777.77777777778</v>
      </c>
      <c r="S28" s="39">
        <f t="shared" si="12"/>
        <v>97777.77777777778</v>
      </c>
      <c r="T28" s="39">
        <f t="shared" si="12"/>
        <v>97777.77777777778</v>
      </c>
      <c r="U28" s="39">
        <f t="shared" si="12"/>
        <v>97777.77777777778</v>
      </c>
      <c r="V28" s="39">
        <f t="shared" si="12"/>
        <v>97777.77777777778</v>
      </c>
      <c r="W28" s="39">
        <f t="shared" si="12"/>
        <v>97777.77777777778</v>
      </c>
      <c r="X28" s="39">
        <f t="shared" si="12"/>
        <v>97777.77777777778</v>
      </c>
      <c r="Y28" s="39">
        <f t="shared" si="12"/>
        <v>97777.77777777778</v>
      </c>
      <c r="Z28" s="39">
        <f t="shared" si="12"/>
        <v>97777.77777777778</v>
      </c>
      <c r="AA28" s="39">
        <f>SUM(E28:Z28)</f>
        <v>1759999.9999999998</v>
      </c>
    </row>
    <row r="29" spans="2:27" ht="15">
      <c r="B29" s="32"/>
      <c r="C29" s="32"/>
      <c r="D29" s="39" t="s">
        <v>86</v>
      </c>
      <c r="E29" s="39">
        <v>0</v>
      </c>
      <c r="F29" s="39">
        <f>F27+F28</f>
        <v>0</v>
      </c>
      <c r="G29" s="39">
        <f aca="true" t="shared" si="13" ref="G29:Z29">G27+G28</f>
        <v>3300</v>
      </c>
      <c r="H29" s="39">
        <f t="shared" si="13"/>
        <v>13200</v>
      </c>
      <c r="I29" s="39">
        <f t="shared" si="13"/>
        <v>119777.77777777778</v>
      </c>
      <c r="J29" s="39">
        <f t="shared" si="13"/>
        <v>122711.11111111112</v>
      </c>
      <c r="K29" s="39">
        <f t="shared" si="13"/>
        <v>125155.55555555556</v>
      </c>
      <c r="L29" s="39">
        <f t="shared" si="13"/>
        <v>127111.11111111112</v>
      </c>
      <c r="M29" s="39">
        <f t="shared" si="13"/>
        <v>128577.77777777778</v>
      </c>
      <c r="N29" s="39">
        <f t="shared" si="13"/>
        <v>129555.55555555556</v>
      </c>
      <c r="O29" s="39">
        <f t="shared" si="13"/>
        <v>130044.44444444445</v>
      </c>
      <c r="P29" s="39">
        <f t="shared" si="13"/>
        <v>130044.44444444445</v>
      </c>
      <c r="Q29" s="39">
        <f t="shared" si="13"/>
        <v>129555.55555555556</v>
      </c>
      <c r="R29" s="39">
        <f t="shared" si="13"/>
        <v>128577.77777777778</v>
      </c>
      <c r="S29" s="39">
        <f t="shared" si="13"/>
        <v>127111.11111111112</v>
      </c>
      <c r="T29" s="39">
        <f t="shared" si="13"/>
        <v>125155.55555555556</v>
      </c>
      <c r="U29" s="39">
        <f t="shared" si="13"/>
        <v>122711.11111111112</v>
      </c>
      <c r="V29" s="39">
        <f t="shared" si="13"/>
        <v>119777.7777777778</v>
      </c>
      <c r="W29" s="39">
        <f t="shared" si="13"/>
        <v>116355.55555555558</v>
      </c>
      <c r="X29" s="39">
        <f t="shared" si="13"/>
        <v>112444.44444444447</v>
      </c>
      <c r="Y29" s="39">
        <f t="shared" si="13"/>
        <v>108044.44444444447</v>
      </c>
      <c r="Z29" s="39">
        <f t="shared" si="13"/>
        <v>103155.55555555558</v>
      </c>
      <c r="AA29" s="40">
        <f>SUM(E29:Z29)</f>
        <v>2222366.6666666665</v>
      </c>
    </row>
    <row r="30" spans="2:27" ht="15">
      <c r="B30" s="32" t="s">
        <v>87</v>
      </c>
      <c r="C30" s="39">
        <f>C25+560000</f>
        <v>2320000</v>
      </c>
      <c r="D30" s="39" t="s">
        <v>88</v>
      </c>
      <c r="E30" s="39"/>
      <c r="F30" s="39"/>
      <c r="G30" s="39"/>
      <c r="H30" s="39">
        <f>$C$30*0.65*0.03</f>
        <v>45240</v>
      </c>
      <c r="I30" s="39">
        <f aca="true" t="shared" si="14" ref="I30:Z30">$C$30*0.65*0.03</f>
        <v>45240</v>
      </c>
      <c r="J30" s="39">
        <f t="shared" si="14"/>
        <v>45240</v>
      </c>
      <c r="K30" s="39">
        <f t="shared" si="14"/>
        <v>45240</v>
      </c>
      <c r="L30" s="39">
        <f t="shared" si="14"/>
        <v>45240</v>
      </c>
      <c r="M30" s="39">
        <f t="shared" si="14"/>
        <v>45240</v>
      </c>
      <c r="N30" s="39">
        <f t="shared" si="14"/>
        <v>45240</v>
      </c>
      <c r="O30" s="39">
        <f t="shared" si="14"/>
        <v>45240</v>
      </c>
      <c r="P30" s="39">
        <f t="shared" si="14"/>
        <v>45240</v>
      </c>
      <c r="Q30" s="39">
        <f t="shared" si="14"/>
        <v>45240</v>
      </c>
      <c r="R30" s="39">
        <f t="shared" si="14"/>
        <v>45240</v>
      </c>
      <c r="S30" s="39">
        <f t="shared" si="14"/>
        <v>45240</v>
      </c>
      <c r="T30" s="39">
        <f t="shared" si="14"/>
        <v>45240</v>
      </c>
      <c r="U30" s="39">
        <f t="shared" si="14"/>
        <v>45240</v>
      </c>
      <c r="V30" s="39">
        <f t="shared" si="14"/>
        <v>45240</v>
      </c>
      <c r="W30" s="39">
        <f t="shared" si="14"/>
        <v>45240</v>
      </c>
      <c r="X30" s="39">
        <f t="shared" si="14"/>
        <v>45240</v>
      </c>
      <c r="Y30" s="39">
        <f t="shared" si="14"/>
        <v>45240</v>
      </c>
      <c r="Z30" s="39">
        <f t="shared" si="14"/>
        <v>45240</v>
      </c>
      <c r="AA30" s="40">
        <f>SUM(E30:Z30)</f>
        <v>859560</v>
      </c>
    </row>
    <row r="31" spans="2:27" ht="15">
      <c r="B31" s="32"/>
      <c r="C31" s="32"/>
      <c r="D31" s="40" t="s">
        <v>80</v>
      </c>
      <c r="E31" s="40">
        <f>SUM(E29:E30)</f>
        <v>0</v>
      </c>
      <c r="F31" s="40">
        <f aca="true" t="shared" si="15" ref="F31:Z31">SUM(F29:F30)</f>
        <v>0</v>
      </c>
      <c r="G31" s="40">
        <f t="shared" si="15"/>
        <v>3300</v>
      </c>
      <c r="H31" s="40">
        <f t="shared" si="15"/>
        <v>58440</v>
      </c>
      <c r="I31" s="40">
        <f t="shared" si="15"/>
        <v>165017.77777777778</v>
      </c>
      <c r="J31" s="40">
        <f t="shared" si="15"/>
        <v>167951.11111111112</v>
      </c>
      <c r="K31" s="40">
        <f t="shared" si="15"/>
        <v>170395.55555555556</v>
      </c>
      <c r="L31" s="40">
        <f t="shared" si="15"/>
        <v>172351.11111111112</v>
      </c>
      <c r="M31" s="40">
        <f t="shared" si="15"/>
        <v>173817.77777777778</v>
      </c>
      <c r="N31" s="40">
        <f t="shared" si="15"/>
        <v>174795.55555555556</v>
      </c>
      <c r="O31" s="40">
        <f t="shared" si="15"/>
        <v>175284.44444444444</v>
      </c>
      <c r="P31" s="40">
        <f t="shared" si="15"/>
        <v>175284.44444444444</v>
      </c>
      <c r="Q31" s="40">
        <f t="shared" si="15"/>
        <v>174795.55555555556</v>
      </c>
      <c r="R31" s="40">
        <f t="shared" si="15"/>
        <v>173817.77777777778</v>
      </c>
      <c r="S31" s="40">
        <f t="shared" si="15"/>
        <v>172351.11111111112</v>
      </c>
      <c r="T31" s="40">
        <f t="shared" si="15"/>
        <v>170395.55555555556</v>
      </c>
      <c r="U31" s="40">
        <f t="shared" si="15"/>
        <v>167951.11111111112</v>
      </c>
      <c r="V31" s="40">
        <f t="shared" si="15"/>
        <v>165017.7777777778</v>
      </c>
      <c r="W31" s="40">
        <f t="shared" si="15"/>
        <v>161595.55555555556</v>
      </c>
      <c r="X31" s="40">
        <f t="shared" si="15"/>
        <v>157684.44444444447</v>
      </c>
      <c r="Y31" s="40">
        <f t="shared" si="15"/>
        <v>153284.44444444447</v>
      </c>
      <c r="Z31" s="40">
        <f t="shared" si="15"/>
        <v>148395.55555555556</v>
      </c>
      <c r="AA31" s="40">
        <f>SUM(AA29:AA29)</f>
        <v>2222366.6666666665</v>
      </c>
    </row>
    <row r="33" spans="1:27" ht="15">
      <c r="A33" t="s">
        <v>32</v>
      </c>
      <c r="B33" s="38" t="s">
        <v>4</v>
      </c>
      <c r="C33" s="39">
        <v>1710000</v>
      </c>
      <c r="D33" s="39" t="s">
        <v>57</v>
      </c>
      <c r="E33" s="39">
        <v>0</v>
      </c>
      <c r="F33" s="39">
        <f>0.25*C33</f>
        <v>427500</v>
      </c>
      <c r="G33" s="39">
        <f>0.5*C33</f>
        <v>855000</v>
      </c>
      <c r="H33" s="39">
        <f>0.25*C33</f>
        <v>427500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2:27" ht="15">
      <c r="B34" s="32"/>
      <c r="C34" s="32"/>
      <c r="D34" s="39" t="s">
        <v>83</v>
      </c>
      <c r="E34" s="39">
        <v>0</v>
      </c>
      <c r="F34" s="39">
        <f>F33</f>
        <v>427500</v>
      </c>
      <c r="G34" s="39">
        <f>F33+G33</f>
        <v>1282500</v>
      </c>
      <c r="H34" s="39">
        <f>F33+G33+H33</f>
        <v>1710000</v>
      </c>
      <c r="I34" s="39">
        <f>H34-$H34/18</f>
        <v>1615000</v>
      </c>
      <c r="J34" s="39">
        <f aca="true" t="shared" si="16" ref="J34:Z34">I34-$H34/18</f>
        <v>1520000</v>
      </c>
      <c r="K34" s="39">
        <f t="shared" si="16"/>
        <v>1425000</v>
      </c>
      <c r="L34" s="39">
        <f t="shared" si="16"/>
        <v>1330000</v>
      </c>
      <c r="M34" s="39">
        <f t="shared" si="16"/>
        <v>1235000</v>
      </c>
      <c r="N34" s="39">
        <f t="shared" si="16"/>
        <v>1140000</v>
      </c>
      <c r="O34" s="39">
        <f t="shared" si="16"/>
        <v>1045000</v>
      </c>
      <c r="P34" s="39">
        <f t="shared" si="16"/>
        <v>950000</v>
      </c>
      <c r="Q34" s="39">
        <f t="shared" si="16"/>
        <v>855000</v>
      </c>
      <c r="R34" s="39">
        <f t="shared" si="16"/>
        <v>760000</v>
      </c>
      <c r="S34" s="39">
        <f t="shared" si="16"/>
        <v>665000</v>
      </c>
      <c r="T34" s="39">
        <f t="shared" si="16"/>
        <v>570000</v>
      </c>
      <c r="U34" s="39">
        <f t="shared" si="16"/>
        <v>475000</v>
      </c>
      <c r="V34" s="39">
        <f t="shared" si="16"/>
        <v>380000</v>
      </c>
      <c r="W34" s="39">
        <f t="shared" si="16"/>
        <v>285000</v>
      </c>
      <c r="X34" s="39">
        <f t="shared" si="16"/>
        <v>190000</v>
      </c>
      <c r="Y34" s="39">
        <f t="shared" si="16"/>
        <v>95000</v>
      </c>
      <c r="Z34" s="39">
        <f t="shared" si="16"/>
        <v>0</v>
      </c>
      <c r="AA34" s="39"/>
    </row>
    <row r="35" spans="2:27" ht="15">
      <c r="B35" s="32"/>
      <c r="C35" s="32"/>
      <c r="D35" s="39" t="s">
        <v>84</v>
      </c>
      <c r="E35" s="39">
        <v>0</v>
      </c>
      <c r="F35" s="39">
        <f>$E$6*E34</f>
        <v>0</v>
      </c>
      <c r="G35" s="39">
        <f>F34*$F$6</f>
        <v>3206.25</v>
      </c>
      <c r="H35" s="39">
        <f>G34*$G$6</f>
        <v>12825</v>
      </c>
      <c r="I35" s="39">
        <f>H34*$H$6</f>
        <v>21375</v>
      </c>
      <c r="J35" s="39">
        <f>I34*$I$6</f>
        <v>24225.000000000004</v>
      </c>
      <c r="K35" s="39">
        <f>J34*$J$6</f>
        <v>26600.000000000004</v>
      </c>
      <c r="L35" s="39">
        <f>K34*$K$6</f>
        <v>28500</v>
      </c>
      <c r="M35" s="39">
        <f>L34*$L$6</f>
        <v>29925</v>
      </c>
      <c r="N35" s="39">
        <f>M34*$M$6</f>
        <v>30874.999999999996</v>
      </c>
      <c r="O35" s="39">
        <f>N34*$N$6</f>
        <v>31349.999999999996</v>
      </c>
      <c r="P35" s="39">
        <f>O34*$O$6</f>
        <v>31349.999999999996</v>
      </c>
      <c r="Q35" s="39">
        <f>P34*$P$6</f>
        <v>30874.999999999993</v>
      </c>
      <c r="R35" s="39">
        <f>Q34*$Q$6</f>
        <v>29924.999999999996</v>
      </c>
      <c r="S35" s="39">
        <f>R34*$R$6</f>
        <v>28500</v>
      </c>
      <c r="T35" s="39">
        <f>S34*$S$6</f>
        <v>26600</v>
      </c>
      <c r="U35" s="39">
        <f>T34*$T$6</f>
        <v>24225</v>
      </c>
      <c r="V35" s="39">
        <f>U34*$U$6</f>
        <v>21375.000000000004</v>
      </c>
      <c r="W35" s="39">
        <f>V34*$V$6</f>
        <v>18050.000000000004</v>
      </c>
      <c r="X35" s="39">
        <f>W34*$W$6</f>
        <v>14250.000000000004</v>
      </c>
      <c r="Y35" s="39">
        <f>X34*$X$6</f>
        <v>9975.000000000002</v>
      </c>
      <c r="Z35" s="39">
        <f>Y34*$Y$6</f>
        <v>5225.000000000001</v>
      </c>
      <c r="AA35" s="39">
        <f>SUM(E35:Z35)</f>
        <v>449231.25</v>
      </c>
    </row>
    <row r="36" spans="2:27" ht="15">
      <c r="B36" s="32"/>
      <c r="C36" s="32"/>
      <c r="D36" s="39" t="s">
        <v>85</v>
      </c>
      <c r="E36" s="39">
        <v>0</v>
      </c>
      <c r="F36" s="39">
        <v>0</v>
      </c>
      <c r="G36" s="39">
        <v>0</v>
      </c>
      <c r="H36" s="39"/>
      <c r="I36" s="39">
        <f>$H34/18</f>
        <v>95000</v>
      </c>
      <c r="J36" s="39">
        <f aca="true" t="shared" si="17" ref="J36:Z36">$H34/18</f>
        <v>95000</v>
      </c>
      <c r="K36" s="39">
        <f t="shared" si="17"/>
        <v>95000</v>
      </c>
      <c r="L36" s="39">
        <f t="shared" si="17"/>
        <v>95000</v>
      </c>
      <c r="M36" s="39">
        <f t="shared" si="17"/>
        <v>95000</v>
      </c>
      <c r="N36" s="39">
        <f t="shared" si="17"/>
        <v>95000</v>
      </c>
      <c r="O36" s="39">
        <f t="shared" si="17"/>
        <v>95000</v>
      </c>
      <c r="P36" s="39">
        <f t="shared" si="17"/>
        <v>95000</v>
      </c>
      <c r="Q36" s="39">
        <f t="shared" si="17"/>
        <v>95000</v>
      </c>
      <c r="R36" s="39">
        <f t="shared" si="17"/>
        <v>95000</v>
      </c>
      <c r="S36" s="39">
        <f t="shared" si="17"/>
        <v>95000</v>
      </c>
      <c r="T36" s="39">
        <f t="shared" si="17"/>
        <v>95000</v>
      </c>
      <c r="U36" s="39">
        <f t="shared" si="17"/>
        <v>95000</v>
      </c>
      <c r="V36" s="39">
        <f t="shared" si="17"/>
        <v>95000</v>
      </c>
      <c r="W36" s="39">
        <f t="shared" si="17"/>
        <v>95000</v>
      </c>
      <c r="X36" s="39">
        <f t="shared" si="17"/>
        <v>95000</v>
      </c>
      <c r="Y36" s="39">
        <f t="shared" si="17"/>
        <v>95000</v>
      </c>
      <c r="Z36" s="39">
        <f t="shared" si="17"/>
        <v>95000</v>
      </c>
      <c r="AA36" s="39">
        <f>SUM(E36:Z36)</f>
        <v>1710000</v>
      </c>
    </row>
    <row r="37" spans="2:27" ht="15">
      <c r="B37" s="32"/>
      <c r="C37" s="32"/>
      <c r="D37" s="39" t="s">
        <v>86</v>
      </c>
      <c r="E37" s="39">
        <v>0</v>
      </c>
      <c r="F37" s="39">
        <f>F35+F36</f>
        <v>0</v>
      </c>
      <c r="G37" s="39">
        <f aca="true" t="shared" si="18" ref="G37:Z37">G35+G36</f>
        <v>3206.25</v>
      </c>
      <c r="H37" s="39">
        <f t="shared" si="18"/>
        <v>12825</v>
      </c>
      <c r="I37" s="39">
        <f t="shared" si="18"/>
        <v>116375</v>
      </c>
      <c r="J37" s="39">
        <f t="shared" si="18"/>
        <v>119225</v>
      </c>
      <c r="K37" s="39">
        <f t="shared" si="18"/>
        <v>121600</v>
      </c>
      <c r="L37" s="39">
        <f t="shared" si="18"/>
        <v>123500</v>
      </c>
      <c r="M37" s="39">
        <f t="shared" si="18"/>
        <v>124925</v>
      </c>
      <c r="N37" s="39">
        <f t="shared" si="18"/>
        <v>125875</v>
      </c>
      <c r="O37" s="39">
        <f t="shared" si="18"/>
        <v>126350</v>
      </c>
      <c r="P37" s="39">
        <f t="shared" si="18"/>
        <v>126350</v>
      </c>
      <c r="Q37" s="39">
        <f t="shared" si="18"/>
        <v>125875</v>
      </c>
      <c r="R37" s="39">
        <f t="shared" si="18"/>
        <v>124925</v>
      </c>
      <c r="S37" s="39">
        <f t="shared" si="18"/>
        <v>123500</v>
      </c>
      <c r="T37" s="39">
        <f t="shared" si="18"/>
        <v>121600</v>
      </c>
      <c r="U37" s="39">
        <f t="shared" si="18"/>
        <v>119225</v>
      </c>
      <c r="V37" s="39">
        <f t="shared" si="18"/>
        <v>116375</v>
      </c>
      <c r="W37" s="39">
        <f t="shared" si="18"/>
        <v>113050</v>
      </c>
      <c r="X37" s="39">
        <f t="shared" si="18"/>
        <v>109250</v>
      </c>
      <c r="Y37" s="39">
        <f t="shared" si="18"/>
        <v>104975</v>
      </c>
      <c r="Z37" s="39">
        <f t="shared" si="18"/>
        <v>100225</v>
      </c>
      <c r="AA37" s="40">
        <f>SUM(E37:Z37)</f>
        <v>2159231.25</v>
      </c>
    </row>
    <row r="38" spans="2:27" ht="15">
      <c r="B38" s="32" t="s">
        <v>87</v>
      </c>
      <c r="C38" s="39">
        <f>C33+530000</f>
        <v>2240000</v>
      </c>
      <c r="D38" s="39" t="s">
        <v>88</v>
      </c>
      <c r="E38" s="39"/>
      <c r="F38" s="39"/>
      <c r="G38" s="39"/>
      <c r="H38" s="39">
        <f>$C$38*0.65*0.03</f>
        <v>43680</v>
      </c>
      <c r="I38" s="39">
        <f aca="true" t="shared" si="19" ref="I38:Z38">$C$38*0.65*0.03</f>
        <v>43680</v>
      </c>
      <c r="J38" s="39">
        <f t="shared" si="19"/>
        <v>43680</v>
      </c>
      <c r="K38" s="39">
        <f t="shared" si="19"/>
        <v>43680</v>
      </c>
      <c r="L38" s="39">
        <f t="shared" si="19"/>
        <v>43680</v>
      </c>
      <c r="M38" s="39">
        <f t="shared" si="19"/>
        <v>43680</v>
      </c>
      <c r="N38" s="39">
        <f t="shared" si="19"/>
        <v>43680</v>
      </c>
      <c r="O38" s="39">
        <f t="shared" si="19"/>
        <v>43680</v>
      </c>
      <c r="P38" s="39">
        <f t="shared" si="19"/>
        <v>43680</v>
      </c>
      <c r="Q38" s="39">
        <f t="shared" si="19"/>
        <v>43680</v>
      </c>
      <c r="R38" s="39">
        <f t="shared" si="19"/>
        <v>43680</v>
      </c>
      <c r="S38" s="39">
        <f t="shared" si="19"/>
        <v>43680</v>
      </c>
      <c r="T38" s="39">
        <f t="shared" si="19"/>
        <v>43680</v>
      </c>
      <c r="U38" s="39">
        <f t="shared" si="19"/>
        <v>43680</v>
      </c>
      <c r="V38" s="39">
        <f t="shared" si="19"/>
        <v>43680</v>
      </c>
      <c r="W38" s="39">
        <f t="shared" si="19"/>
        <v>43680</v>
      </c>
      <c r="X38" s="39">
        <f t="shared" si="19"/>
        <v>43680</v>
      </c>
      <c r="Y38" s="39">
        <f t="shared" si="19"/>
        <v>43680</v>
      </c>
      <c r="Z38" s="39">
        <f t="shared" si="19"/>
        <v>43680</v>
      </c>
      <c r="AA38" s="40">
        <f>SUM(E38:Z38)</f>
        <v>829920</v>
      </c>
    </row>
    <row r="39" spans="2:27" ht="15">
      <c r="B39" s="32"/>
      <c r="C39" s="32"/>
      <c r="D39" s="40" t="s">
        <v>80</v>
      </c>
      <c r="E39" s="40">
        <f>SUM(E37:E38)</f>
        <v>0</v>
      </c>
      <c r="F39" s="40">
        <f aca="true" t="shared" si="20" ref="F39:Z39">SUM(F37:F38)</f>
        <v>0</v>
      </c>
      <c r="G39" s="40">
        <f t="shared" si="20"/>
        <v>3206.25</v>
      </c>
      <c r="H39" s="40">
        <f t="shared" si="20"/>
        <v>56505</v>
      </c>
      <c r="I39" s="40">
        <f t="shared" si="20"/>
        <v>160055</v>
      </c>
      <c r="J39" s="40">
        <f t="shared" si="20"/>
        <v>162905</v>
      </c>
      <c r="K39" s="40">
        <f t="shared" si="20"/>
        <v>165280</v>
      </c>
      <c r="L39" s="40">
        <f t="shared" si="20"/>
        <v>167180</v>
      </c>
      <c r="M39" s="40">
        <f t="shared" si="20"/>
        <v>168605</v>
      </c>
      <c r="N39" s="40">
        <f t="shared" si="20"/>
        <v>169555</v>
      </c>
      <c r="O39" s="40">
        <f t="shared" si="20"/>
        <v>170030</v>
      </c>
      <c r="P39" s="40">
        <f t="shared" si="20"/>
        <v>170030</v>
      </c>
      <c r="Q39" s="40">
        <f t="shared" si="20"/>
        <v>169555</v>
      </c>
      <c r="R39" s="40">
        <f t="shared" si="20"/>
        <v>168605</v>
      </c>
      <c r="S39" s="40">
        <f t="shared" si="20"/>
        <v>167180</v>
      </c>
      <c r="T39" s="40">
        <f t="shared" si="20"/>
        <v>165280</v>
      </c>
      <c r="U39" s="40">
        <f t="shared" si="20"/>
        <v>162905</v>
      </c>
      <c r="V39" s="40">
        <f t="shared" si="20"/>
        <v>160055</v>
      </c>
      <c r="W39" s="40">
        <f t="shared" si="20"/>
        <v>156730</v>
      </c>
      <c r="X39" s="40">
        <f t="shared" si="20"/>
        <v>152930</v>
      </c>
      <c r="Y39" s="40">
        <f t="shared" si="20"/>
        <v>148655</v>
      </c>
      <c r="Z39" s="40">
        <f t="shared" si="20"/>
        <v>143905</v>
      </c>
      <c r="AA39" s="40">
        <f>SUM(AA37:AA37)</f>
        <v>2159231.25</v>
      </c>
    </row>
    <row r="41" spans="1:27" ht="15">
      <c r="A41" t="s">
        <v>32</v>
      </c>
      <c r="B41" s="38" t="s">
        <v>5</v>
      </c>
      <c r="C41" s="39">
        <v>1510000</v>
      </c>
      <c r="D41" s="39" t="s">
        <v>57</v>
      </c>
      <c r="E41" s="39">
        <v>0</v>
      </c>
      <c r="F41" s="39">
        <f>0.25*C41</f>
        <v>377500</v>
      </c>
      <c r="G41" s="39">
        <f>0.5*C41</f>
        <v>755000</v>
      </c>
      <c r="H41" s="39">
        <f>0.25*C41</f>
        <v>377500</v>
      </c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2:27" ht="15">
      <c r="B42" s="32"/>
      <c r="C42" s="32"/>
      <c r="D42" s="39" t="s">
        <v>83</v>
      </c>
      <c r="E42" s="39">
        <v>0</v>
      </c>
      <c r="F42" s="39">
        <f>F41</f>
        <v>377500</v>
      </c>
      <c r="G42" s="39">
        <f>F41+G41</f>
        <v>1132500</v>
      </c>
      <c r="H42" s="39">
        <f>F41+G41+H41</f>
        <v>1510000</v>
      </c>
      <c r="I42" s="39">
        <f>H42-$H42/18</f>
        <v>1426111.111111111</v>
      </c>
      <c r="J42" s="39">
        <f aca="true" t="shared" si="21" ref="J42:Z42">I42-$H42/18</f>
        <v>1342222.222222222</v>
      </c>
      <c r="K42" s="39">
        <f t="shared" si="21"/>
        <v>1258333.333333333</v>
      </c>
      <c r="L42" s="39">
        <f t="shared" si="21"/>
        <v>1174444.444444444</v>
      </c>
      <c r="M42" s="39">
        <f t="shared" si="21"/>
        <v>1090555.555555555</v>
      </c>
      <c r="N42" s="39">
        <f t="shared" si="21"/>
        <v>1006666.6666666662</v>
      </c>
      <c r="O42" s="39">
        <f t="shared" si="21"/>
        <v>922777.7777777773</v>
      </c>
      <c r="P42" s="39">
        <f t="shared" si="21"/>
        <v>838888.8888888884</v>
      </c>
      <c r="Q42" s="39">
        <f t="shared" si="21"/>
        <v>754999.9999999995</v>
      </c>
      <c r="R42" s="39">
        <f t="shared" si="21"/>
        <v>671111.1111111107</v>
      </c>
      <c r="S42" s="39">
        <f t="shared" si="21"/>
        <v>587222.2222222218</v>
      </c>
      <c r="T42" s="39">
        <f t="shared" si="21"/>
        <v>503333.3333333329</v>
      </c>
      <c r="U42" s="39">
        <f t="shared" si="21"/>
        <v>419444.44444444403</v>
      </c>
      <c r="V42" s="39">
        <f t="shared" si="21"/>
        <v>335555.55555555515</v>
      </c>
      <c r="W42" s="39">
        <f t="shared" si="21"/>
        <v>251666.66666666628</v>
      </c>
      <c r="X42" s="39">
        <f t="shared" si="21"/>
        <v>167777.7777777774</v>
      </c>
      <c r="Y42" s="39">
        <f t="shared" si="21"/>
        <v>83888.88888888851</v>
      </c>
      <c r="Z42" s="39">
        <f t="shared" si="21"/>
        <v>-3.7834979593753815E-10</v>
      </c>
      <c r="AA42" s="39"/>
    </row>
    <row r="43" spans="2:27" ht="15">
      <c r="B43" s="32"/>
      <c r="C43" s="32"/>
      <c r="D43" s="39" t="s">
        <v>84</v>
      </c>
      <c r="E43" s="39">
        <v>0</v>
      </c>
      <c r="F43" s="39">
        <f>$E$6*E42</f>
        <v>0</v>
      </c>
      <c r="G43" s="39">
        <f>F42*$F$6</f>
        <v>2831.25</v>
      </c>
      <c r="H43" s="39">
        <f>G42*$G$6</f>
        <v>11325</v>
      </c>
      <c r="I43" s="39">
        <f>H42*$H$6</f>
        <v>18875</v>
      </c>
      <c r="J43" s="39">
        <f>I42*$I$6</f>
        <v>21391.666666666668</v>
      </c>
      <c r="K43" s="39">
        <f>J42*$J$6</f>
        <v>23488.888888888887</v>
      </c>
      <c r="L43" s="39">
        <f>K42*$K$6</f>
        <v>25166.66666666666</v>
      </c>
      <c r="M43" s="39">
        <f>L42*$L$6</f>
        <v>26424.99999999999</v>
      </c>
      <c r="N43" s="39">
        <f>M42*$M$6</f>
        <v>27263.888888888872</v>
      </c>
      <c r="O43" s="39">
        <f>N42*$N$6</f>
        <v>27683.333333333318</v>
      </c>
      <c r="P43" s="39">
        <f>O42*$O$6</f>
        <v>27683.333333333314</v>
      </c>
      <c r="Q43" s="39">
        <f>P42*$P$6</f>
        <v>27263.88888888887</v>
      </c>
      <c r="R43" s="39">
        <f>Q42*$Q$6</f>
        <v>26424.99999999998</v>
      </c>
      <c r="S43" s="39">
        <f>R42*$R$6</f>
        <v>25166.66666666665</v>
      </c>
      <c r="T43" s="39">
        <f>S42*$S$6</f>
        <v>23488.888888888872</v>
      </c>
      <c r="U43" s="39">
        <f>T42*$T$6</f>
        <v>21391.66666666665</v>
      </c>
      <c r="V43" s="39">
        <f>U42*$U$6</f>
        <v>18874.99999999998</v>
      </c>
      <c r="W43" s="39">
        <f>V42*$V$6</f>
        <v>15938.888888888872</v>
      </c>
      <c r="X43" s="39">
        <f>W42*$W$6</f>
        <v>12583.333333333316</v>
      </c>
      <c r="Y43" s="39">
        <f>X42*$X$6</f>
        <v>8808.333333333316</v>
      </c>
      <c r="Z43" s="39">
        <f>Y42*$Y$6</f>
        <v>4613.88888888887</v>
      </c>
      <c r="AA43" s="39">
        <f>SUM(E43:Z43)</f>
        <v>396689.5833333331</v>
      </c>
    </row>
    <row r="44" spans="2:27" ht="15">
      <c r="B44" s="32"/>
      <c r="C44" s="32"/>
      <c r="D44" s="39" t="s">
        <v>85</v>
      </c>
      <c r="E44" s="39">
        <v>0</v>
      </c>
      <c r="F44" s="39">
        <v>0</v>
      </c>
      <c r="G44" s="39">
        <v>0</v>
      </c>
      <c r="H44" s="39"/>
      <c r="I44" s="39">
        <f>$H42/18</f>
        <v>83888.88888888889</v>
      </c>
      <c r="J44" s="39">
        <f aca="true" t="shared" si="22" ref="J44:Z44">$H42/18</f>
        <v>83888.88888888889</v>
      </c>
      <c r="K44" s="39">
        <f t="shared" si="22"/>
        <v>83888.88888888889</v>
      </c>
      <c r="L44" s="39">
        <f t="shared" si="22"/>
        <v>83888.88888888889</v>
      </c>
      <c r="M44" s="39">
        <f t="shared" si="22"/>
        <v>83888.88888888889</v>
      </c>
      <c r="N44" s="39">
        <f t="shared" si="22"/>
        <v>83888.88888888889</v>
      </c>
      <c r="O44" s="39">
        <f t="shared" si="22"/>
        <v>83888.88888888889</v>
      </c>
      <c r="P44" s="39">
        <f t="shared" si="22"/>
        <v>83888.88888888889</v>
      </c>
      <c r="Q44" s="39">
        <f t="shared" si="22"/>
        <v>83888.88888888889</v>
      </c>
      <c r="R44" s="39">
        <f t="shared" si="22"/>
        <v>83888.88888888889</v>
      </c>
      <c r="S44" s="39">
        <f t="shared" si="22"/>
        <v>83888.88888888889</v>
      </c>
      <c r="T44" s="39">
        <f t="shared" si="22"/>
        <v>83888.88888888889</v>
      </c>
      <c r="U44" s="39">
        <f t="shared" si="22"/>
        <v>83888.88888888889</v>
      </c>
      <c r="V44" s="39">
        <f t="shared" si="22"/>
        <v>83888.88888888889</v>
      </c>
      <c r="W44" s="39">
        <f t="shared" si="22"/>
        <v>83888.88888888889</v>
      </c>
      <c r="X44" s="39">
        <f t="shared" si="22"/>
        <v>83888.88888888889</v>
      </c>
      <c r="Y44" s="39">
        <f t="shared" si="22"/>
        <v>83888.88888888889</v>
      </c>
      <c r="Z44" s="39">
        <f t="shared" si="22"/>
        <v>83888.88888888889</v>
      </c>
      <c r="AA44" s="39">
        <f>SUM(E44:Z44)</f>
        <v>1510000.0000000005</v>
      </c>
    </row>
    <row r="45" spans="2:27" ht="15">
      <c r="B45" s="32"/>
      <c r="C45" s="32"/>
      <c r="D45" s="39" t="s">
        <v>86</v>
      </c>
      <c r="E45" s="39">
        <v>0</v>
      </c>
      <c r="F45" s="39">
        <f>F43+F44</f>
        <v>0</v>
      </c>
      <c r="G45" s="39">
        <f aca="true" t="shared" si="23" ref="G45:Z45">G43+G44</f>
        <v>2831.25</v>
      </c>
      <c r="H45" s="39">
        <f t="shared" si="23"/>
        <v>11325</v>
      </c>
      <c r="I45" s="39">
        <f t="shared" si="23"/>
        <v>102763.88888888889</v>
      </c>
      <c r="J45" s="39">
        <f t="shared" si="23"/>
        <v>105280.55555555556</v>
      </c>
      <c r="K45" s="39">
        <f t="shared" si="23"/>
        <v>107377.77777777778</v>
      </c>
      <c r="L45" s="39">
        <f t="shared" si="23"/>
        <v>109055.55555555555</v>
      </c>
      <c r="M45" s="39">
        <f t="shared" si="23"/>
        <v>110313.88888888888</v>
      </c>
      <c r="N45" s="39">
        <f t="shared" si="23"/>
        <v>111152.77777777777</v>
      </c>
      <c r="O45" s="39">
        <f t="shared" si="23"/>
        <v>111572.2222222222</v>
      </c>
      <c r="P45" s="39">
        <f t="shared" si="23"/>
        <v>111572.2222222222</v>
      </c>
      <c r="Q45" s="39">
        <f t="shared" si="23"/>
        <v>111152.77777777775</v>
      </c>
      <c r="R45" s="39">
        <f t="shared" si="23"/>
        <v>110313.88888888888</v>
      </c>
      <c r="S45" s="39">
        <f t="shared" si="23"/>
        <v>109055.55555555553</v>
      </c>
      <c r="T45" s="39">
        <f t="shared" si="23"/>
        <v>107377.77777777777</v>
      </c>
      <c r="U45" s="39">
        <f t="shared" si="23"/>
        <v>105280.55555555553</v>
      </c>
      <c r="V45" s="39">
        <f t="shared" si="23"/>
        <v>102763.88888888888</v>
      </c>
      <c r="W45" s="39">
        <f t="shared" si="23"/>
        <v>99827.77777777777</v>
      </c>
      <c r="X45" s="39">
        <f t="shared" si="23"/>
        <v>96472.2222222222</v>
      </c>
      <c r="Y45" s="39">
        <f t="shared" si="23"/>
        <v>92697.2222222222</v>
      </c>
      <c r="Z45" s="39">
        <f t="shared" si="23"/>
        <v>88502.77777777777</v>
      </c>
      <c r="AA45" s="40">
        <f>SUM(E45:Z45)</f>
        <v>1906689.583333333</v>
      </c>
    </row>
    <row r="46" spans="2:27" ht="15">
      <c r="B46" s="32" t="s">
        <v>87</v>
      </c>
      <c r="C46" s="39">
        <f>C41+500000</f>
        <v>2010000</v>
      </c>
      <c r="D46" s="39" t="s">
        <v>88</v>
      </c>
      <c r="E46" s="39"/>
      <c r="F46" s="39"/>
      <c r="G46" s="39"/>
      <c r="H46" s="39">
        <f>$C$46*0.65*0.03</f>
        <v>39195</v>
      </c>
      <c r="I46" s="39">
        <f aca="true" t="shared" si="24" ref="I46:Z46">$C$46*0.65*0.03</f>
        <v>39195</v>
      </c>
      <c r="J46" s="39">
        <f t="shared" si="24"/>
        <v>39195</v>
      </c>
      <c r="K46" s="39">
        <f t="shared" si="24"/>
        <v>39195</v>
      </c>
      <c r="L46" s="39">
        <f t="shared" si="24"/>
        <v>39195</v>
      </c>
      <c r="M46" s="39">
        <f t="shared" si="24"/>
        <v>39195</v>
      </c>
      <c r="N46" s="39">
        <f t="shared" si="24"/>
        <v>39195</v>
      </c>
      <c r="O46" s="39">
        <f t="shared" si="24"/>
        <v>39195</v>
      </c>
      <c r="P46" s="39">
        <f t="shared" si="24"/>
        <v>39195</v>
      </c>
      <c r="Q46" s="39">
        <f t="shared" si="24"/>
        <v>39195</v>
      </c>
      <c r="R46" s="39">
        <f t="shared" si="24"/>
        <v>39195</v>
      </c>
      <c r="S46" s="39">
        <f t="shared" si="24"/>
        <v>39195</v>
      </c>
      <c r="T46" s="39">
        <f t="shared" si="24"/>
        <v>39195</v>
      </c>
      <c r="U46" s="39">
        <f t="shared" si="24"/>
        <v>39195</v>
      </c>
      <c r="V46" s="39">
        <f t="shared" si="24"/>
        <v>39195</v>
      </c>
      <c r="W46" s="39">
        <f t="shared" si="24"/>
        <v>39195</v>
      </c>
      <c r="X46" s="39">
        <f t="shared" si="24"/>
        <v>39195</v>
      </c>
      <c r="Y46" s="39">
        <f t="shared" si="24"/>
        <v>39195</v>
      </c>
      <c r="Z46" s="39">
        <f t="shared" si="24"/>
        <v>39195</v>
      </c>
      <c r="AA46" s="40">
        <f>SUM(E46:Z46)</f>
        <v>744705</v>
      </c>
    </row>
    <row r="47" spans="2:27" ht="15">
      <c r="B47" s="32"/>
      <c r="C47" s="32"/>
      <c r="D47" s="40" t="s">
        <v>80</v>
      </c>
      <c r="E47" s="40">
        <f>SUM(E45:E46)</f>
        <v>0</v>
      </c>
      <c r="F47" s="40">
        <f aca="true" t="shared" si="25" ref="F47:Z47">SUM(F45:F46)</f>
        <v>0</v>
      </c>
      <c r="G47" s="40">
        <f t="shared" si="25"/>
        <v>2831.25</v>
      </c>
      <c r="H47" s="40">
        <f t="shared" si="25"/>
        <v>50520</v>
      </c>
      <c r="I47" s="40">
        <f t="shared" si="25"/>
        <v>141958.88888888888</v>
      </c>
      <c r="J47" s="40">
        <f t="shared" si="25"/>
        <v>144475.55555555556</v>
      </c>
      <c r="K47" s="40">
        <f t="shared" si="25"/>
        <v>146572.77777777778</v>
      </c>
      <c r="L47" s="40">
        <f t="shared" si="25"/>
        <v>148250.55555555556</v>
      </c>
      <c r="M47" s="40">
        <f t="shared" si="25"/>
        <v>149508.88888888888</v>
      </c>
      <c r="N47" s="40">
        <f t="shared" si="25"/>
        <v>150347.77777777775</v>
      </c>
      <c r="O47" s="40">
        <f t="shared" si="25"/>
        <v>150767.2222222222</v>
      </c>
      <c r="P47" s="40">
        <f t="shared" si="25"/>
        <v>150767.2222222222</v>
      </c>
      <c r="Q47" s="40">
        <f t="shared" si="25"/>
        <v>150347.77777777775</v>
      </c>
      <c r="R47" s="40">
        <f t="shared" si="25"/>
        <v>149508.88888888888</v>
      </c>
      <c r="S47" s="40">
        <f t="shared" si="25"/>
        <v>148250.55555555553</v>
      </c>
      <c r="T47" s="40">
        <f t="shared" si="25"/>
        <v>146572.77777777775</v>
      </c>
      <c r="U47" s="40">
        <f t="shared" si="25"/>
        <v>144475.55555555553</v>
      </c>
      <c r="V47" s="40">
        <f t="shared" si="25"/>
        <v>141958.88888888888</v>
      </c>
      <c r="W47" s="40">
        <f t="shared" si="25"/>
        <v>139022.77777777775</v>
      </c>
      <c r="X47" s="40">
        <f t="shared" si="25"/>
        <v>135667.2222222222</v>
      </c>
      <c r="Y47" s="40">
        <f t="shared" si="25"/>
        <v>131892.2222222222</v>
      </c>
      <c r="Z47" s="40">
        <f t="shared" si="25"/>
        <v>127697.77777777777</v>
      </c>
      <c r="AA47" s="40">
        <f>SUM(AA45:AA45)</f>
        <v>1906689.583333333</v>
      </c>
    </row>
    <row r="49" spans="1:27" ht="15">
      <c r="A49" t="s">
        <v>34</v>
      </c>
      <c r="B49" s="38" t="s">
        <v>6</v>
      </c>
      <c r="C49" s="39">
        <v>2250000</v>
      </c>
      <c r="D49" s="39" t="s">
        <v>57</v>
      </c>
      <c r="E49" s="39">
        <v>0</v>
      </c>
      <c r="F49" s="39">
        <f>0.25*C49</f>
        <v>562500</v>
      </c>
      <c r="G49" s="39">
        <f>0.5*C49</f>
        <v>1125000</v>
      </c>
      <c r="H49" s="39">
        <f>0.25*C49</f>
        <v>562500</v>
      </c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</row>
    <row r="50" spans="2:27" ht="15">
      <c r="B50" s="32"/>
      <c r="C50" s="32"/>
      <c r="D50" s="39" t="s">
        <v>83</v>
      </c>
      <c r="E50" s="39">
        <v>0</v>
      </c>
      <c r="F50" s="39">
        <f>F49</f>
        <v>562500</v>
      </c>
      <c r="G50" s="39">
        <f>F49+G49</f>
        <v>1687500</v>
      </c>
      <c r="H50" s="39">
        <f>F49+G49+H49</f>
        <v>2250000</v>
      </c>
      <c r="I50" s="39">
        <f>H50-$H50/18</f>
        <v>2125000</v>
      </c>
      <c r="J50" s="39">
        <f aca="true" t="shared" si="26" ref="J50:Z50">I50-$H50/18</f>
        <v>2000000</v>
      </c>
      <c r="K50" s="39">
        <f t="shared" si="26"/>
        <v>1875000</v>
      </c>
      <c r="L50" s="39">
        <f t="shared" si="26"/>
        <v>1750000</v>
      </c>
      <c r="M50" s="39">
        <f t="shared" si="26"/>
        <v>1625000</v>
      </c>
      <c r="N50" s="39">
        <f t="shared" si="26"/>
        <v>1500000</v>
      </c>
      <c r="O50" s="39">
        <f t="shared" si="26"/>
        <v>1375000</v>
      </c>
      <c r="P50" s="39">
        <f t="shared" si="26"/>
        <v>1250000</v>
      </c>
      <c r="Q50" s="39">
        <f t="shared" si="26"/>
        <v>1125000</v>
      </c>
      <c r="R50" s="39">
        <f t="shared" si="26"/>
        <v>1000000</v>
      </c>
      <c r="S50" s="39">
        <f t="shared" si="26"/>
        <v>875000</v>
      </c>
      <c r="T50" s="39">
        <f t="shared" si="26"/>
        <v>750000</v>
      </c>
      <c r="U50" s="39">
        <f t="shared" si="26"/>
        <v>625000</v>
      </c>
      <c r="V50" s="39">
        <f t="shared" si="26"/>
        <v>500000</v>
      </c>
      <c r="W50" s="39">
        <f t="shared" si="26"/>
        <v>375000</v>
      </c>
      <c r="X50" s="39">
        <f t="shared" si="26"/>
        <v>250000</v>
      </c>
      <c r="Y50" s="39">
        <f t="shared" si="26"/>
        <v>125000</v>
      </c>
      <c r="Z50" s="39">
        <f t="shared" si="26"/>
        <v>0</v>
      </c>
      <c r="AA50" s="39"/>
    </row>
    <row r="51" spans="2:27" ht="15">
      <c r="B51" s="32"/>
      <c r="C51" s="32"/>
      <c r="D51" s="39" t="s">
        <v>84</v>
      </c>
      <c r="E51" s="39">
        <v>0</v>
      </c>
      <c r="F51" s="39">
        <f>$E$6*E50</f>
        <v>0</v>
      </c>
      <c r="G51" s="39">
        <f>F50*$F$6</f>
        <v>4218.75</v>
      </c>
      <c r="H51" s="39">
        <f>G50*$G$6</f>
        <v>16875</v>
      </c>
      <c r="I51" s="39">
        <f>H50*$H$6</f>
        <v>28125</v>
      </c>
      <c r="J51" s="39">
        <f>I50*$I$6</f>
        <v>31875.000000000004</v>
      </c>
      <c r="K51" s="39">
        <f>J50*$J$6</f>
        <v>35000</v>
      </c>
      <c r="L51" s="39">
        <f>K50*$K$6</f>
        <v>37500</v>
      </c>
      <c r="M51" s="39">
        <f>L50*$L$6</f>
        <v>39375</v>
      </c>
      <c r="N51" s="39">
        <f>M50*$M$6</f>
        <v>40625</v>
      </c>
      <c r="O51" s="39">
        <f>N50*$N$6</f>
        <v>41249.99999999999</v>
      </c>
      <c r="P51" s="39">
        <f>O50*$O$6</f>
        <v>41249.99999999999</v>
      </c>
      <c r="Q51" s="39">
        <f>P50*$P$6</f>
        <v>40624.99999999999</v>
      </c>
      <c r="R51" s="39">
        <f>Q50*$Q$6</f>
        <v>39374.99999999999</v>
      </c>
      <c r="S51" s="39">
        <f>R50*$R$6</f>
        <v>37500</v>
      </c>
      <c r="T51" s="39">
        <f>S50*$S$6</f>
        <v>35000</v>
      </c>
      <c r="U51" s="39">
        <f>T50*$T$6</f>
        <v>31875.000000000004</v>
      </c>
      <c r="V51" s="39">
        <f>U50*$U$6</f>
        <v>28125.000000000004</v>
      </c>
      <c r="W51" s="39">
        <f>V50*$V$6</f>
        <v>23750.000000000004</v>
      </c>
      <c r="X51" s="39">
        <f>W50*$W$6</f>
        <v>18750.000000000004</v>
      </c>
      <c r="Y51" s="39">
        <f>X50*$X$6</f>
        <v>13125.000000000004</v>
      </c>
      <c r="Z51" s="39">
        <f>Y50*$Y$6</f>
        <v>6875.000000000002</v>
      </c>
      <c r="AA51" s="39">
        <f>SUM(E51:Z51)</f>
        <v>591093.75</v>
      </c>
    </row>
    <row r="52" spans="2:27" ht="15">
      <c r="B52" s="32"/>
      <c r="C52" s="32"/>
      <c r="D52" s="39" t="s">
        <v>85</v>
      </c>
      <c r="E52" s="39">
        <v>0</v>
      </c>
      <c r="F52" s="39">
        <v>0</v>
      </c>
      <c r="G52" s="39">
        <v>0</v>
      </c>
      <c r="H52" s="39"/>
      <c r="I52" s="39">
        <f>$H50/18</f>
        <v>125000</v>
      </c>
      <c r="J52" s="39">
        <f aca="true" t="shared" si="27" ref="J52:Z52">$H50/18</f>
        <v>125000</v>
      </c>
      <c r="K52" s="39">
        <f t="shared" si="27"/>
        <v>125000</v>
      </c>
      <c r="L52" s="39">
        <f t="shared" si="27"/>
        <v>125000</v>
      </c>
      <c r="M52" s="39">
        <f t="shared" si="27"/>
        <v>125000</v>
      </c>
      <c r="N52" s="39">
        <f t="shared" si="27"/>
        <v>125000</v>
      </c>
      <c r="O52" s="39">
        <f t="shared" si="27"/>
        <v>125000</v>
      </c>
      <c r="P52" s="39">
        <f t="shared" si="27"/>
        <v>125000</v>
      </c>
      <c r="Q52" s="39">
        <f t="shared" si="27"/>
        <v>125000</v>
      </c>
      <c r="R52" s="39">
        <f t="shared" si="27"/>
        <v>125000</v>
      </c>
      <c r="S52" s="39">
        <f t="shared" si="27"/>
        <v>125000</v>
      </c>
      <c r="T52" s="39">
        <f t="shared" si="27"/>
        <v>125000</v>
      </c>
      <c r="U52" s="39">
        <f t="shared" si="27"/>
        <v>125000</v>
      </c>
      <c r="V52" s="39">
        <f t="shared" si="27"/>
        <v>125000</v>
      </c>
      <c r="W52" s="39">
        <f t="shared" si="27"/>
        <v>125000</v>
      </c>
      <c r="X52" s="39">
        <f t="shared" si="27"/>
        <v>125000</v>
      </c>
      <c r="Y52" s="39">
        <f t="shared" si="27"/>
        <v>125000</v>
      </c>
      <c r="Z52" s="39">
        <f t="shared" si="27"/>
        <v>125000</v>
      </c>
      <c r="AA52" s="39">
        <f>SUM(E52:Z52)</f>
        <v>2250000</v>
      </c>
    </row>
    <row r="53" spans="2:27" ht="15">
      <c r="B53" s="32"/>
      <c r="C53" s="32"/>
      <c r="D53" s="39" t="s">
        <v>86</v>
      </c>
      <c r="E53" s="39">
        <v>0</v>
      </c>
      <c r="F53" s="39">
        <f>F51+F52</f>
        <v>0</v>
      </c>
      <c r="G53" s="39">
        <f aca="true" t="shared" si="28" ref="G53:Z53">G51+G52</f>
        <v>4218.75</v>
      </c>
      <c r="H53" s="39">
        <f t="shared" si="28"/>
        <v>16875</v>
      </c>
      <c r="I53" s="39">
        <f t="shared" si="28"/>
        <v>153125</v>
      </c>
      <c r="J53" s="39">
        <f t="shared" si="28"/>
        <v>156875</v>
      </c>
      <c r="K53" s="39">
        <f t="shared" si="28"/>
        <v>160000</v>
      </c>
      <c r="L53" s="39">
        <f t="shared" si="28"/>
        <v>162500</v>
      </c>
      <c r="M53" s="39">
        <f t="shared" si="28"/>
        <v>164375</v>
      </c>
      <c r="N53" s="39">
        <f t="shared" si="28"/>
        <v>165625</v>
      </c>
      <c r="O53" s="39">
        <f t="shared" si="28"/>
        <v>166250</v>
      </c>
      <c r="P53" s="39">
        <f t="shared" si="28"/>
        <v>166250</v>
      </c>
      <c r="Q53" s="39">
        <f t="shared" si="28"/>
        <v>165625</v>
      </c>
      <c r="R53" s="39">
        <f t="shared" si="28"/>
        <v>164375</v>
      </c>
      <c r="S53" s="39">
        <f t="shared" si="28"/>
        <v>162500</v>
      </c>
      <c r="T53" s="39">
        <f t="shared" si="28"/>
        <v>160000</v>
      </c>
      <c r="U53" s="39">
        <f t="shared" si="28"/>
        <v>156875</v>
      </c>
      <c r="V53" s="39">
        <f t="shared" si="28"/>
        <v>153125</v>
      </c>
      <c r="W53" s="39">
        <f t="shared" si="28"/>
        <v>148750</v>
      </c>
      <c r="X53" s="39">
        <f t="shared" si="28"/>
        <v>143750</v>
      </c>
      <c r="Y53" s="39">
        <f t="shared" si="28"/>
        <v>138125</v>
      </c>
      <c r="Z53" s="39">
        <f t="shared" si="28"/>
        <v>131875</v>
      </c>
      <c r="AA53" s="40">
        <f>SUM(E53:Z53)</f>
        <v>2841093.75</v>
      </c>
    </row>
    <row r="54" spans="2:27" ht="15">
      <c r="B54" s="32" t="s">
        <v>87</v>
      </c>
      <c r="C54" s="39">
        <f>C49+690000</f>
        <v>2940000</v>
      </c>
      <c r="D54" s="39" t="s">
        <v>88</v>
      </c>
      <c r="E54" s="39"/>
      <c r="F54" s="39"/>
      <c r="G54" s="39"/>
      <c r="H54" s="39">
        <f>$C$54*0.65*0.03</f>
        <v>57330</v>
      </c>
      <c r="I54" s="39">
        <f aca="true" t="shared" si="29" ref="I54:Z54">$C$54*0.65*0.03</f>
        <v>57330</v>
      </c>
      <c r="J54" s="39">
        <f t="shared" si="29"/>
        <v>57330</v>
      </c>
      <c r="K54" s="39">
        <f t="shared" si="29"/>
        <v>57330</v>
      </c>
      <c r="L54" s="39">
        <f t="shared" si="29"/>
        <v>57330</v>
      </c>
      <c r="M54" s="39">
        <f t="shared" si="29"/>
        <v>57330</v>
      </c>
      <c r="N54" s="39">
        <f t="shared" si="29"/>
        <v>57330</v>
      </c>
      <c r="O54" s="39">
        <f t="shared" si="29"/>
        <v>57330</v>
      </c>
      <c r="P54" s="39">
        <f t="shared" si="29"/>
        <v>57330</v>
      </c>
      <c r="Q54" s="39">
        <f t="shared" si="29"/>
        <v>57330</v>
      </c>
      <c r="R54" s="39">
        <f t="shared" si="29"/>
        <v>57330</v>
      </c>
      <c r="S54" s="39">
        <f t="shared" si="29"/>
        <v>57330</v>
      </c>
      <c r="T54" s="39">
        <f t="shared" si="29"/>
        <v>57330</v>
      </c>
      <c r="U54" s="39">
        <f t="shared" si="29"/>
        <v>57330</v>
      </c>
      <c r="V54" s="39">
        <f t="shared" si="29"/>
        <v>57330</v>
      </c>
      <c r="W54" s="39">
        <f t="shared" si="29"/>
        <v>57330</v>
      </c>
      <c r="X54" s="39">
        <f t="shared" si="29"/>
        <v>57330</v>
      </c>
      <c r="Y54" s="39">
        <f t="shared" si="29"/>
        <v>57330</v>
      </c>
      <c r="Z54" s="39">
        <f t="shared" si="29"/>
        <v>57330</v>
      </c>
      <c r="AA54" s="40">
        <f>SUM(E54:Z54)</f>
        <v>1089270</v>
      </c>
    </row>
    <row r="55" spans="2:27" ht="15">
      <c r="B55" s="32"/>
      <c r="C55" s="32"/>
      <c r="D55" s="40" t="s">
        <v>80</v>
      </c>
      <c r="E55" s="40">
        <f>SUM(E53:E54)</f>
        <v>0</v>
      </c>
      <c r="F55" s="40">
        <f aca="true" t="shared" si="30" ref="F55:Z55">SUM(F53:F54)</f>
        <v>0</v>
      </c>
      <c r="G55" s="40">
        <f t="shared" si="30"/>
        <v>4218.75</v>
      </c>
      <c r="H55" s="40">
        <f t="shared" si="30"/>
        <v>74205</v>
      </c>
      <c r="I55" s="40">
        <f t="shared" si="30"/>
        <v>210455</v>
      </c>
      <c r="J55" s="40">
        <f t="shared" si="30"/>
        <v>214205</v>
      </c>
      <c r="K55" s="40">
        <f t="shared" si="30"/>
        <v>217330</v>
      </c>
      <c r="L55" s="40">
        <f t="shared" si="30"/>
        <v>219830</v>
      </c>
      <c r="M55" s="40">
        <f t="shared" si="30"/>
        <v>221705</v>
      </c>
      <c r="N55" s="40">
        <f t="shared" si="30"/>
        <v>222955</v>
      </c>
      <c r="O55" s="40">
        <f t="shared" si="30"/>
        <v>223580</v>
      </c>
      <c r="P55" s="40">
        <f t="shared" si="30"/>
        <v>223580</v>
      </c>
      <c r="Q55" s="40">
        <f t="shared" si="30"/>
        <v>222955</v>
      </c>
      <c r="R55" s="40">
        <f t="shared" si="30"/>
        <v>221705</v>
      </c>
      <c r="S55" s="40">
        <f t="shared" si="30"/>
        <v>219830</v>
      </c>
      <c r="T55" s="40">
        <f t="shared" si="30"/>
        <v>217330</v>
      </c>
      <c r="U55" s="40">
        <f t="shared" si="30"/>
        <v>214205</v>
      </c>
      <c r="V55" s="40">
        <f t="shared" si="30"/>
        <v>210455</v>
      </c>
      <c r="W55" s="40">
        <f t="shared" si="30"/>
        <v>206080</v>
      </c>
      <c r="X55" s="40">
        <f t="shared" si="30"/>
        <v>201080</v>
      </c>
      <c r="Y55" s="40">
        <f t="shared" si="30"/>
        <v>195455</v>
      </c>
      <c r="Z55" s="40">
        <f t="shared" si="30"/>
        <v>189205</v>
      </c>
      <c r="AA55" s="40">
        <f>SUM(AA53:AA53)</f>
        <v>2841093.75</v>
      </c>
    </row>
    <row r="57" spans="1:27" ht="15">
      <c r="A57" t="s">
        <v>33</v>
      </c>
      <c r="B57" s="38" t="s">
        <v>7</v>
      </c>
      <c r="C57" s="39">
        <v>1370000</v>
      </c>
      <c r="D57" s="39" t="s">
        <v>57</v>
      </c>
      <c r="E57" s="39">
        <v>0</v>
      </c>
      <c r="F57" s="39">
        <f>0.25*C57</f>
        <v>342500</v>
      </c>
      <c r="G57" s="39">
        <f>0.5*C57</f>
        <v>685000</v>
      </c>
      <c r="H57" s="39">
        <f>0.25*C57</f>
        <v>342500</v>
      </c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</row>
    <row r="58" spans="2:27" ht="15">
      <c r="B58" s="32"/>
      <c r="C58" s="32"/>
      <c r="D58" s="39" t="s">
        <v>83</v>
      </c>
      <c r="E58" s="39">
        <v>0</v>
      </c>
      <c r="F58" s="39">
        <f>F57</f>
        <v>342500</v>
      </c>
      <c r="G58" s="39">
        <f>F57+G57</f>
        <v>1027500</v>
      </c>
      <c r="H58" s="39">
        <f>F57+G57+H57</f>
        <v>1370000</v>
      </c>
      <c r="I58" s="39">
        <f>H58-$H58/18</f>
        <v>1293888.888888889</v>
      </c>
      <c r="J58" s="39">
        <f aca="true" t="shared" si="31" ref="J58:Z58">I58-$H58/18</f>
        <v>1217777.777777778</v>
      </c>
      <c r="K58" s="39">
        <f t="shared" si="31"/>
        <v>1141666.666666667</v>
      </c>
      <c r="L58" s="39">
        <f t="shared" si="31"/>
        <v>1065555.555555556</v>
      </c>
      <c r="M58" s="39">
        <f t="shared" si="31"/>
        <v>989444.4444444448</v>
      </c>
      <c r="N58" s="39">
        <f t="shared" si="31"/>
        <v>913333.3333333337</v>
      </c>
      <c r="O58" s="39">
        <f t="shared" si="31"/>
        <v>837222.2222222226</v>
      </c>
      <c r="P58" s="39">
        <f t="shared" si="31"/>
        <v>761111.1111111115</v>
      </c>
      <c r="Q58" s="39">
        <f t="shared" si="31"/>
        <v>685000.0000000003</v>
      </c>
      <c r="R58" s="39">
        <f t="shared" si="31"/>
        <v>608888.8888888892</v>
      </c>
      <c r="S58" s="39">
        <f t="shared" si="31"/>
        <v>532777.7777777781</v>
      </c>
      <c r="T58" s="39">
        <f t="shared" si="31"/>
        <v>456666.666666667</v>
      </c>
      <c r="U58" s="39">
        <f t="shared" si="31"/>
        <v>380555.55555555585</v>
      </c>
      <c r="V58" s="39">
        <f t="shared" si="31"/>
        <v>304444.4444444447</v>
      </c>
      <c r="W58" s="39">
        <f t="shared" si="31"/>
        <v>228333.3333333336</v>
      </c>
      <c r="X58" s="39">
        <f t="shared" si="31"/>
        <v>152222.22222222248</v>
      </c>
      <c r="Y58" s="39">
        <f t="shared" si="31"/>
        <v>76111.11111111137</v>
      </c>
      <c r="Z58" s="39">
        <f t="shared" si="31"/>
        <v>2.6193447411060333E-10</v>
      </c>
      <c r="AA58" s="39"/>
    </row>
    <row r="59" spans="2:27" ht="15">
      <c r="B59" s="32"/>
      <c r="C59" s="32"/>
      <c r="D59" s="39" t="s">
        <v>84</v>
      </c>
      <c r="E59" s="39">
        <v>0</v>
      </c>
      <c r="F59" s="39">
        <f>$E$6*E58</f>
        <v>0</v>
      </c>
      <c r="G59" s="39">
        <f>F58*$F$6</f>
        <v>2568.75</v>
      </c>
      <c r="H59" s="39">
        <f>G58*$G$6</f>
        <v>10275</v>
      </c>
      <c r="I59" s="39">
        <f>H58*$H$6</f>
        <v>17125</v>
      </c>
      <c r="J59" s="39">
        <f>I58*$I$6</f>
        <v>19408.333333333336</v>
      </c>
      <c r="K59" s="39">
        <f>J58*$J$6</f>
        <v>21311.111111111117</v>
      </c>
      <c r="L59" s="39">
        <f>K58*$K$6</f>
        <v>22833.33333333334</v>
      </c>
      <c r="M59" s="39">
        <f>L58*$L$6</f>
        <v>23975.000000000007</v>
      </c>
      <c r="N59" s="39">
        <f>M58*$M$6</f>
        <v>24736.11111111112</v>
      </c>
      <c r="O59" s="39">
        <f>N58*$N$6</f>
        <v>25116.666666666675</v>
      </c>
      <c r="P59" s="39">
        <f>O58*$O$6</f>
        <v>25116.666666666675</v>
      </c>
      <c r="Q59" s="39">
        <f>P58*$P$6</f>
        <v>24736.111111111117</v>
      </c>
      <c r="R59" s="39">
        <f>Q58*$Q$6</f>
        <v>23975.00000000001</v>
      </c>
      <c r="S59" s="39">
        <f>R58*$R$6</f>
        <v>22833.333333333347</v>
      </c>
      <c r="T59" s="39">
        <f>S58*$S$6</f>
        <v>21311.111111111124</v>
      </c>
      <c r="U59" s="39">
        <f>T58*$T$6</f>
        <v>19408.333333333347</v>
      </c>
      <c r="V59" s="39">
        <f>U58*$U$6</f>
        <v>17125.000000000015</v>
      </c>
      <c r="W59" s="39">
        <f>V58*$V$6</f>
        <v>14461.111111111128</v>
      </c>
      <c r="X59" s="39">
        <f>W58*$W$6</f>
        <v>11416.666666666682</v>
      </c>
      <c r="Y59" s="39">
        <f>X58*$X$6</f>
        <v>7991.666666666682</v>
      </c>
      <c r="Z59" s="39">
        <f>Y58*$Y$6</f>
        <v>4186.111111111127</v>
      </c>
      <c r="AA59" s="39">
        <f>SUM(E59:Z59)</f>
        <v>359910.4166666669</v>
      </c>
    </row>
    <row r="60" spans="2:27" ht="15">
      <c r="B60" s="32"/>
      <c r="C60" s="32"/>
      <c r="D60" s="39" t="s">
        <v>85</v>
      </c>
      <c r="E60" s="39">
        <v>0</v>
      </c>
      <c r="F60" s="39">
        <v>0</v>
      </c>
      <c r="G60" s="39">
        <v>0</v>
      </c>
      <c r="H60" s="39"/>
      <c r="I60" s="39">
        <f>$H58/18</f>
        <v>76111.11111111111</v>
      </c>
      <c r="J60" s="39">
        <f aca="true" t="shared" si="32" ref="J60:Z60">$H58/18</f>
        <v>76111.11111111111</v>
      </c>
      <c r="K60" s="39">
        <f t="shared" si="32"/>
        <v>76111.11111111111</v>
      </c>
      <c r="L60" s="39">
        <f t="shared" si="32"/>
        <v>76111.11111111111</v>
      </c>
      <c r="M60" s="39">
        <f t="shared" si="32"/>
        <v>76111.11111111111</v>
      </c>
      <c r="N60" s="39">
        <f t="shared" si="32"/>
        <v>76111.11111111111</v>
      </c>
      <c r="O60" s="39">
        <f t="shared" si="32"/>
        <v>76111.11111111111</v>
      </c>
      <c r="P60" s="39">
        <f t="shared" si="32"/>
        <v>76111.11111111111</v>
      </c>
      <c r="Q60" s="39">
        <f t="shared" si="32"/>
        <v>76111.11111111111</v>
      </c>
      <c r="R60" s="39">
        <f t="shared" si="32"/>
        <v>76111.11111111111</v>
      </c>
      <c r="S60" s="39">
        <f t="shared" si="32"/>
        <v>76111.11111111111</v>
      </c>
      <c r="T60" s="39">
        <f t="shared" si="32"/>
        <v>76111.11111111111</v>
      </c>
      <c r="U60" s="39">
        <f t="shared" si="32"/>
        <v>76111.11111111111</v>
      </c>
      <c r="V60" s="39">
        <f t="shared" si="32"/>
        <v>76111.11111111111</v>
      </c>
      <c r="W60" s="39">
        <f t="shared" si="32"/>
        <v>76111.11111111111</v>
      </c>
      <c r="X60" s="39">
        <f t="shared" si="32"/>
        <v>76111.11111111111</v>
      </c>
      <c r="Y60" s="39">
        <f t="shared" si="32"/>
        <v>76111.11111111111</v>
      </c>
      <c r="Z60" s="39">
        <f t="shared" si="32"/>
        <v>76111.11111111111</v>
      </c>
      <c r="AA60" s="39">
        <f>SUM(E60:Z60)</f>
        <v>1369999.9999999995</v>
      </c>
    </row>
    <row r="61" spans="2:27" ht="15">
      <c r="B61" s="32"/>
      <c r="C61" s="32"/>
      <c r="D61" s="39" t="s">
        <v>86</v>
      </c>
      <c r="E61" s="39">
        <v>0</v>
      </c>
      <c r="F61" s="39">
        <f>F59+F60</f>
        <v>0</v>
      </c>
      <c r="G61" s="39">
        <f aca="true" t="shared" si="33" ref="G61:Z61">G59+G60</f>
        <v>2568.75</v>
      </c>
      <c r="H61" s="39">
        <f t="shared" si="33"/>
        <v>10275</v>
      </c>
      <c r="I61" s="39">
        <f t="shared" si="33"/>
        <v>93236.11111111111</v>
      </c>
      <c r="J61" s="39">
        <f t="shared" si="33"/>
        <v>95519.44444444444</v>
      </c>
      <c r="K61" s="39">
        <f t="shared" si="33"/>
        <v>97422.22222222222</v>
      </c>
      <c r="L61" s="39">
        <f t="shared" si="33"/>
        <v>98944.44444444445</v>
      </c>
      <c r="M61" s="39">
        <f t="shared" si="33"/>
        <v>100086.11111111112</v>
      </c>
      <c r="N61" s="39">
        <f t="shared" si="33"/>
        <v>100847.22222222223</v>
      </c>
      <c r="O61" s="39">
        <f t="shared" si="33"/>
        <v>101227.77777777778</v>
      </c>
      <c r="P61" s="39">
        <f t="shared" si="33"/>
        <v>101227.77777777778</v>
      </c>
      <c r="Q61" s="39">
        <f t="shared" si="33"/>
        <v>100847.22222222222</v>
      </c>
      <c r="R61" s="39">
        <f t="shared" si="33"/>
        <v>100086.11111111112</v>
      </c>
      <c r="S61" s="39">
        <f t="shared" si="33"/>
        <v>98944.44444444445</v>
      </c>
      <c r="T61" s="39">
        <f t="shared" si="33"/>
        <v>97422.22222222223</v>
      </c>
      <c r="U61" s="39">
        <f t="shared" si="33"/>
        <v>95519.44444444445</v>
      </c>
      <c r="V61" s="39">
        <f t="shared" si="33"/>
        <v>93236.11111111112</v>
      </c>
      <c r="W61" s="39">
        <f t="shared" si="33"/>
        <v>90572.22222222223</v>
      </c>
      <c r="X61" s="39">
        <f t="shared" si="33"/>
        <v>87527.7777777778</v>
      </c>
      <c r="Y61" s="39">
        <f t="shared" si="33"/>
        <v>84102.7777777778</v>
      </c>
      <c r="Z61" s="39">
        <f t="shared" si="33"/>
        <v>80297.22222222223</v>
      </c>
      <c r="AA61" s="40">
        <f>SUM(E61:Z61)</f>
        <v>1729910.4166666665</v>
      </c>
    </row>
    <row r="62" spans="2:27" ht="15">
      <c r="B62" s="32" t="s">
        <v>87</v>
      </c>
      <c r="C62" s="39">
        <f>C57+450000</f>
        <v>1820000</v>
      </c>
      <c r="D62" s="39" t="s">
        <v>88</v>
      </c>
      <c r="E62" s="39"/>
      <c r="F62" s="39"/>
      <c r="G62" s="39"/>
      <c r="H62" s="39">
        <f>$C$62*0.65*0.03</f>
        <v>35490</v>
      </c>
      <c r="I62" s="39">
        <f aca="true" t="shared" si="34" ref="I62:Z62">$C$62*0.65*0.03</f>
        <v>35490</v>
      </c>
      <c r="J62" s="39">
        <f t="shared" si="34"/>
        <v>35490</v>
      </c>
      <c r="K62" s="39">
        <f t="shared" si="34"/>
        <v>35490</v>
      </c>
      <c r="L62" s="39">
        <f t="shared" si="34"/>
        <v>35490</v>
      </c>
      <c r="M62" s="39">
        <f t="shared" si="34"/>
        <v>35490</v>
      </c>
      <c r="N62" s="39">
        <f t="shared" si="34"/>
        <v>35490</v>
      </c>
      <c r="O62" s="39">
        <f t="shared" si="34"/>
        <v>35490</v>
      </c>
      <c r="P62" s="39">
        <f t="shared" si="34"/>
        <v>35490</v>
      </c>
      <c r="Q62" s="39">
        <f t="shared" si="34"/>
        <v>35490</v>
      </c>
      <c r="R62" s="39">
        <f t="shared" si="34"/>
        <v>35490</v>
      </c>
      <c r="S62" s="39">
        <f t="shared" si="34"/>
        <v>35490</v>
      </c>
      <c r="T62" s="39">
        <f t="shared" si="34"/>
        <v>35490</v>
      </c>
      <c r="U62" s="39">
        <f t="shared" si="34"/>
        <v>35490</v>
      </c>
      <c r="V62" s="39">
        <f t="shared" si="34"/>
        <v>35490</v>
      </c>
      <c r="W62" s="39">
        <f t="shared" si="34"/>
        <v>35490</v>
      </c>
      <c r="X62" s="39">
        <f t="shared" si="34"/>
        <v>35490</v>
      </c>
      <c r="Y62" s="39">
        <f t="shared" si="34"/>
        <v>35490</v>
      </c>
      <c r="Z62" s="39">
        <f t="shared" si="34"/>
        <v>35490</v>
      </c>
      <c r="AA62" s="40">
        <f>SUM(E62:Z62)</f>
        <v>674310</v>
      </c>
    </row>
    <row r="63" spans="2:27" ht="15">
      <c r="B63" s="32"/>
      <c r="C63" s="32"/>
      <c r="D63" s="40" t="s">
        <v>80</v>
      </c>
      <c r="E63" s="40">
        <f>SUM(E61:E62)</f>
        <v>0</v>
      </c>
      <c r="F63" s="40">
        <f aca="true" t="shared" si="35" ref="F63:Z63">SUM(F61:F62)</f>
        <v>0</v>
      </c>
      <c r="G63" s="40">
        <f t="shared" si="35"/>
        <v>2568.75</v>
      </c>
      <c r="H63" s="40">
        <f t="shared" si="35"/>
        <v>45765</v>
      </c>
      <c r="I63" s="40">
        <f t="shared" si="35"/>
        <v>128726.11111111111</v>
      </c>
      <c r="J63" s="40">
        <f t="shared" si="35"/>
        <v>131009.44444444444</v>
      </c>
      <c r="K63" s="40">
        <f t="shared" si="35"/>
        <v>132912.22222222222</v>
      </c>
      <c r="L63" s="40">
        <f t="shared" si="35"/>
        <v>134434.44444444444</v>
      </c>
      <c r="M63" s="40">
        <f t="shared" si="35"/>
        <v>135576.11111111112</v>
      </c>
      <c r="N63" s="40">
        <f t="shared" si="35"/>
        <v>136337.22222222225</v>
      </c>
      <c r="O63" s="40">
        <f t="shared" si="35"/>
        <v>136717.77777777778</v>
      </c>
      <c r="P63" s="40">
        <f t="shared" si="35"/>
        <v>136717.77777777778</v>
      </c>
      <c r="Q63" s="40">
        <f t="shared" si="35"/>
        <v>136337.22222222222</v>
      </c>
      <c r="R63" s="40">
        <f t="shared" si="35"/>
        <v>135576.11111111112</v>
      </c>
      <c r="S63" s="40">
        <f t="shared" si="35"/>
        <v>134434.44444444444</v>
      </c>
      <c r="T63" s="40">
        <f t="shared" si="35"/>
        <v>132912.22222222225</v>
      </c>
      <c r="U63" s="40">
        <f t="shared" si="35"/>
        <v>131009.44444444445</v>
      </c>
      <c r="V63" s="40">
        <f t="shared" si="35"/>
        <v>128726.11111111112</v>
      </c>
      <c r="W63" s="40">
        <f t="shared" si="35"/>
        <v>126062.22222222223</v>
      </c>
      <c r="X63" s="40">
        <f t="shared" si="35"/>
        <v>123017.7777777778</v>
      </c>
      <c r="Y63" s="40">
        <f t="shared" si="35"/>
        <v>119592.7777777778</v>
      </c>
      <c r="Z63" s="40">
        <f t="shared" si="35"/>
        <v>115787.22222222223</v>
      </c>
      <c r="AA63" s="40">
        <f>SUM(AA61:AA61)</f>
        <v>1729910.4166666665</v>
      </c>
    </row>
    <row r="65" spans="1:27" ht="15">
      <c r="A65" t="s">
        <v>34</v>
      </c>
      <c r="B65" s="38" t="s">
        <v>8</v>
      </c>
      <c r="C65" s="39">
        <v>1870000</v>
      </c>
      <c r="D65" s="39" t="s">
        <v>57</v>
      </c>
      <c r="E65" s="39">
        <v>0</v>
      </c>
      <c r="F65" s="39">
        <f>0.25*C65</f>
        <v>467500</v>
      </c>
      <c r="G65" s="39">
        <f>0.5*C65</f>
        <v>935000</v>
      </c>
      <c r="H65" s="39">
        <f>0.25*C65</f>
        <v>467500</v>
      </c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</row>
    <row r="66" spans="2:27" ht="15">
      <c r="B66" s="32"/>
      <c r="C66" s="32"/>
      <c r="D66" s="39" t="s">
        <v>83</v>
      </c>
      <c r="E66" s="39">
        <v>0</v>
      </c>
      <c r="F66" s="39">
        <f>F65</f>
        <v>467500</v>
      </c>
      <c r="G66" s="39">
        <f>F65+G65</f>
        <v>1402500</v>
      </c>
      <c r="H66" s="39">
        <f>F65+G65+H65</f>
        <v>1870000</v>
      </c>
      <c r="I66" s="39">
        <f>H66-$H66/18</f>
        <v>1766111.111111111</v>
      </c>
      <c r="J66" s="39">
        <f aca="true" t="shared" si="36" ref="J66:Z66">I66-$H66/18</f>
        <v>1662222.222222222</v>
      </c>
      <c r="K66" s="39">
        <f t="shared" si="36"/>
        <v>1558333.333333333</v>
      </c>
      <c r="L66" s="39">
        <f t="shared" si="36"/>
        <v>1454444.444444444</v>
      </c>
      <c r="M66" s="39">
        <f t="shared" si="36"/>
        <v>1350555.555555555</v>
      </c>
      <c r="N66" s="39">
        <f t="shared" si="36"/>
        <v>1246666.666666666</v>
      </c>
      <c r="O66" s="39">
        <f t="shared" si="36"/>
        <v>1142777.777777777</v>
      </c>
      <c r="P66" s="39">
        <f t="shared" si="36"/>
        <v>1038888.8888888882</v>
      </c>
      <c r="Q66" s="39">
        <f t="shared" si="36"/>
        <v>934999.9999999993</v>
      </c>
      <c r="R66" s="39">
        <f t="shared" si="36"/>
        <v>831111.1111111104</v>
      </c>
      <c r="S66" s="39">
        <f t="shared" si="36"/>
        <v>727222.2222222215</v>
      </c>
      <c r="T66" s="39">
        <f t="shared" si="36"/>
        <v>623333.3333333327</v>
      </c>
      <c r="U66" s="39">
        <f t="shared" si="36"/>
        <v>519444.4444444438</v>
      </c>
      <c r="V66" s="39">
        <f t="shared" si="36"/>
        <v>415555.5555555549</v>
      </c>
      <c r="W66" s="39">
        <f t="shared" si="36"/>
        <v>311666.66666666605</v>
      </c>
      <c r="X66" s="39">
        <f t="shared" si="36"/>
        <v>207777.77777777717</v>
      </c>
      <c r="Y66" s="39">
        <f t="shared" si="36"/>
        <v>103888.88888888828</v>
      </c>
      <c r="Z66" s="39">
        <f t="shared" si="36"/>
        <v>-6.111804395914078E-10</v>
      </c>
      <c r="AA66" s="39"/>
    </row>
    <row r="67" spans="2:27" ht="15">
      <c r="B67" s="32"/>
      <c r="C67" s="32"/>
      <c r="D67" s="39" t="s">
        <v>84</v>
      </c>
      <c r="E67" s="39">
        <v>0</v>
      </c>
      <c r="F67" s="39">
        <f>$E$6*E66</f>
        <v>0</v>
      </c>
      <c r="G67" s="39">
        <f>F66*$F$6</f>
        <v>3506.25</v>
      </c>
      <c r="H67" s="39">
        <f>G66*$G$6</f>
        <v>14025</v>
      </c>
      <c r="I67" s="39">
        <f>H66*$H$6</f>
        <v>23375</v>
      </c>
      <c r="J67" s="39">
        <f>I66*$I$6</f>
        <v>26491.666666666668</v>
      </c>
      <c r="K67" s="39">
        <f>J66*$J$6</f>
        <v>29088.888888888887</v>
      </c>
      <c r="L67" s="39">
        <f>K66*$K$6</f>
        <v>31166.66666666666</v>
      </c>
      <c r="M67" s="39">
        <f>L66*$L$6</f>
        <v>32724.99999999999</v>
      </c>
      <c r="N67" s="39">
        <f>M66*$M$6</f>
        <v>33763.888888888876</v>
      </c>
      <c r="O67" s="39">
        <f>N66*$N$6</f>
        <v>34283.333333333314</v>
      </c>
      <c r="P67" s="39">
        <f>O66*$O$6</f>
        <v>34283.33333333331</v>
      </c>
      <c r="Q67" s="39">
        <f>P66*$P$6</f>
        <v>33763.88888888886</v>
      </c>
      <c r="R67" s="39">
        <f>Q66*$Q$6</f>
        <v>32724.99999999997</v>
      </c>
      <c r="S67" s="39">
        <f>R66*$R$6</f>
        <v>31166.66666666664</v>
      </c>
      <c r="T67" s="39">
        <f>S66*$S$6</f>
        <v>29088.88888888886</v>
      </c>
      <c r="U67" s="39">
        <f>T66*$T$6</f>
        <v>26491.66666666664</v>
      </c>
      <c r="V67" s="39">
        <f>U66*$U$6</f>
        <v>23374.999999999975</v>
      </c>
      <c r="W67" s="39">
        <f>V66*$V$6</f>
        <v>19738.88888888886</v>
      </c>
      <c r="X67" s="39">
        <f>W66*$W$6</f>
        <v>15583.333333333305</v>
      </c>
      <c r="Y67" s="39">
        <f>X66*$X$6</f>
        <v>10908.333333333303</v>
      </c>
      <c r="Z67" s="39">
        <f>Y66*$Y$6</f>
        <v>5713.888888888857</v>
      </c>
      <c r="AA67" s="39">
        <f>SUM(E67:Z67)</f>
        <v>491264.583333333</v>
      </c>
    </row>
    <row r="68" spans="2:27" ht="15">
      <c r="B68" s="32"/>
      <c r="C68" s="32"/>
      <c r="D68" s="39" t="s">
        <v>85</v>
      </c>
      <c r="E68" s="39">
        <v>0</v>
      </c>
      <c r="F68" s="39">
        <v>0</v>
      </c>
      <c r="G68" s="39">
        <v>0</v>
      </c>
      <c r="H68" s="39"/>
      <c r="I68" s="39">
        <f>$H66/18</f>
        <v>103888.88888888889</v>
      </c>
      <c r="J68" s="39">
        <f aca="true" t="shared" si="37" ref="J68:Z68">$H66/18</f>
        <v>103888.88888888889</v>
      </c>
      <c r="K68" s="39">
        <f t="shared" si="37"/>
        <v>103888.88888888889</v>
      </c>
      <c r="L68" s="39">
        <f t="shared" si="37"/>
        <v>103888.88888888889</v>
      </c>
      <c r="M68" s="39">
        <f t="shared" si="37"/>
        <v>103888.88888888889</v>
      </c>
      <c r="N68" s="39">
        <f t="shared" si="37"/>
        <v>103888.88888888889</v>
      </c>
      <c r="O68" s="39">
        <f t="shared" si="37"/>
        <v>103888.88888888889</v>
      </c>
      <c r="P68" s="39">
        <f t="shared" si="37"/>
        <v>103888.88888888889</v>
      </c>
      <c r="Q68" s="39">
        <f t="shared" si="37"/>
        <v>103888.88888888889</v>
      </c>
      <c r="R68" s="39">
        <f t="shared" si="37"/>
        <v>103888.88888888889</v>
      </c>
      <c r="S68" s="39">
        <f t="shared" si="37"/>
        <v>103888.88888888889</v>
      </c>
      <c r="T68" s="39">
        <f t="shared" si="37"/>
        <v>103888.88888888889</v>
      </c>
      <c r="U68" s="39">
        <f t="shared" si="37"/>
        <v>103888.88888888889</v>
      </c>
      <c r="V68" s="39">
        <f t="shared" si="37"/>
        <v>103888.88888888889</v>
      </c>
      <c r="W68" s="39">
        <f t="shared" si="37"/>
        <v>103888.88888888889</v>
      </c>
      <c r="X68" s="39">
        <f t="shared" si="37"/>
        <v>103888.88888888889</v>
      </c>
      <c r="Y68" s="39">
        <f t="shared" si="37"/>
        <v>103888.88888888889</v>
      </c>
      <c r="Z68" s="39">
        <f t="shared" si="37"/>
        <v>103888.88888888889</v>
      </c>
      <c r="AA68" s="39">
        <f>SUM(E68:Z68)</f>
        <v>1870000.0000000007</v>
      </c>
    </row>
    <row r="69" spans="2:27" ht="15">
      <c r="B69" s="32"/>
      <c r="C69" s="32"/>
      <c r="D69" s="39" t="s">
        <v>86</v>
      </c>
      <c r="E69" s="39">
        <v>0</v>
      </c>
      <c r="F69" s="39">
        <f>F67+F68</f>
        <v>0</v>
      </c>
      <c r="G69" s="39">
        <f aca="true" t="shared" si="38" ref="G69:Z69">G67+G68</f>
        <v>3506.25</v>
      </c>
      <c r="H69" s="39">
        <f t="shared" si="38"/>
        <v>14025</v>
      </c>
      <c r="I69" s="39">
        <f t="shared" si="38"/>
        <v>127263.88888888889</v>
      </c>
      <c r="J69" s="39">
        <f t="shared" si="38"/>
        <v>130380.55555555556</v>
      </c>
      <c r="K69" s="39">
        <f t="shared" si="38"/>
        <v>132977.77777777778</v>
      </c>
      <c r="L69" s="39">
        <f t="shared" si="38"/>
        <v>135055.55555555556</v>
      </c>
      <c r="M69" s="39">
        <f t="shared" si="38"/>
        <v>136613.88888888888</v>
      </c>
      <c r="N69" s="39">
        <f t="shared" si="38"/>
        <v>137652.77777777775</v>
      </c>
      <c r="O69" s="39">
        <f t="shared" si="38"/>
        <v>138172.2222222222</v>
      </c>
      <c r="P69" s="39">
        <f t="shared" si="38"/>
        <v>138172.2222222222</v>
      </c>
      <c r="Q69" s="39">
        <f t="shared" si="38"/>
        <v>137652.77777777775</v>
      </c>
      <c r="R69" s="39">
        <f t="shared" si="38"/>
        <v>136613.88888888888</v>
      </c>
      <c r="S69" s="39">
        <f t="shared" si="38"/>
        <v>135055.55555555553</v>
      </c>
      <c r="T69" s="39">
        <f t="shared" si="38"/>
        <v>132977.77777777775</v>
      </c>
      <c r="U69" s="39">
        <f t="shared" si="38"/>
        <v>130380.55555555553</v>
      </c>
      <c r="V69" s="39">
        <f t="shared" si="38"/>
        <v>127263.88888888886</v>
      </c>
      <c r="W69" s="39">
        <f t="shared" si="38"/>
        <v>123627.77777777775</v>
      </c>
      <c r="X69" s="39">
        <f t="shared" si="38"/>
        <v>119472.22222222219</v>
      </c>
      <c r="Y69" s="39">
        <f t="shared" si="38"/>
        <v>114797.22222222219</v>
      </c>
      <c r="Z69" s="39">
        <f t="shared" si="38"/>
        <v>109602.77777777775</v>
      </c>
      <c r="AA69" s="40">
        <f>SUM(E69:Z69)</f>
        <v>2361264.583333333</v>
      </c>
    </row>
    <row r="70" spans="2:27" ht="15">
      <c r="B70" s="32" t="s">
        <v>87</v>
      </c>
      <c r="C70" s="39">
        <f>C65+660000</f>
        <v>2530000</v>
      </c>
      <c r="D70" s="39" t="s">
        <v>88</v>
      </c>
      <c r="E70" s="39"/>
      <c r="F70" s="39"/>
      <c r="G70" s="39"/>
      <c r="H70" s="39">
        <f>$C$70*0.65*0.03</f>
        <v>49335</v>
      </c>
      <c r="I70" s="39">
        <f aca="true" t="shared" si="39" ref="I70:Z70">$C$70*0.65*0.03</f>
        <v>49335</v>
      </c>
      <c r="J70" s="39">
        <f t="shared" si="39"/>
        <v>49335</v>
      </c>
      <c r="K70" s="39">
        <f t="shared" si="39"/>
        <v>49335</v>
      </c>
      <c r="L70" s="39">
        <f t="shared" si="39"/>
        <v>49335</v>
      </c>
      <c r="M70" s="39">
        <f t="shared" si="39"/>
        <v>49335</v>
      </c>
      <c r="N70" s="39">
        <f t="shared" si="39"/>
        <v>49335</v>
      </c>
      <c r="O70" s="39">
        <f t="shared" si="39"/>
        <v>49335</v>
      </c>
      <c r="P70" s="39">
        <f t="shared" si="39"/>
        <v>49335</v>
      </c>
      <c r="Q70" s="39">
        <f t="shared" si="39"/>
        <v>49335</v>
      </c>
      <c r="R70" s="39">
        <f t="shared" si="39"/>
        <v>49335</v>
      </c>
      <c r="S70" s="39">
        <f t="shared" si="39"/>
        <v>49335</v>
      </c>
      <c r="T70" s="39">
        <f t="shared" si="39"/>
        <v>49335</v>
      </c>
      <c r="U70" s="39">
        <f t="shared" si="39"/>
        <v>49335</v>
      </c>
      <c r="V70" s="39">
        <f t="shared" si="39"/>
        <v>49335</v>
      </c>
      <c r="W70" s="39">
        <f t="shared" si="39"/>
        <v>49335</v>
      </c>
      <c r="X70" s="39">
        <f t="shared" si="39"/>
        <v>49335</v>
      </c>
      <c r="Y70" s="39">
        <f t="shared" si="39"/>
        <v>49335</v>
      </c>
      <c r="Z70" s="39">
        <f t="shared" si="39"/>
        <v>49335</v>
      </c>
      <c r="AA70" s="40">
        <f>SUM(E70:Z70)</f>
        <v>937365</v>
      </c>
    </row>
    <row r="71" spans="2:27" ht="15">
      <c r="B71" s="32"/>
      <c r="C71" s="32"/>
      <c r="D71" s="40" t="s">
        <v>80</v>
      </c>
      <c r="E71" s="40">
        <f>SUM(E69:E70)</f>
        <v>0</v>
      </c>
      <c r="F71" s="40">
        <f aca="true" t="shared" si="40" ref="F71:Z71">SUM(F69:F70)</f>
        <v>0</v>
      </c>
      <c r="G71" s="40">
        <f t="shared" si="40"/>
        <v>3506.25</v>
      </c>
      <c r="H71" s="40">
        <f t="shared" si="40"/>
        <v>63360</v>
      </c>
      <c r="I71" s="40">
        <f t="shared" si="40"/>
        <v>176598.88888888888</v>
      </c>
      <c r="J71" s="40">
        <f t="shared" si="40"/>
        <v>179715.55555555556</v>
      </c>
      <c r="K71" s="40">
        <f t="shared" si="40"/>
        <v>182312.77777777778</v>
      </c>
      <c r="L71" s="40">
        <f t="shared" si="40"/>
        <v>184390.55555555556</v>
      </c>
      <c r="M71" s="40">
        <f t="shared" si="40"/>
        <v>185948.88888888888</v>
      </c>
      <c r="N71" s="40">
        <f t="shared" si="40"/>
        <v>186987.77777777775</v>
      </c>
      <c r="O71" s="40">
        <f t="shared" si="40"/>
        <v>187507.2222222222</v>
      </c>
      <c r="P71" s="40">
        <f t="shared" si="40"/>
        <v>187507.2222222222</v>
      </c>
      <c r="Q71" s="40">
        <f t="shared" si="40"/>
        <v>186987.77777777775</v>
      </c>
      <c r="R71" s="40">
        <f t="shared" si="40"/>
        <v>185948.88888888888</v>
      </c>
      <c r="S71" s="40">
        <f t="shared" si="40"/>
        <v>184390.55555555553</v>
      </c>
      <c r="T71" s="40">
        <f t="shared" si="40"/>
        <v>182312.77777777775</v>
      </c>
      <c r="U71" s="40">
        <f t="shared" si="40"/>
        <v>179715.55555555553</v>
      </c>
      <c r="V71" s="40">
        <f t="shared" si="40"/>
        <v>176598.88888888888</v>
      </c>
      <c r="W71" s="40">
        <f t="shared" si="40"/>
        <v>172962.77777777775</v>
      </c>
      <c r="X71" s="40">
        <f t="shared" si="40"/>
        <v>168807.2222222222</v>
      </c>
      <c r="Y71" s="40">
        <f t="shared" si="40"/>
        <v>164132.2222222222</v>
      </c>
      <c r="Z71" s="40">
        <f t="shared" si="40"/>
        <v>158937.77777777775</v>
      </c>
      <c r="AA71" s="40">
        <f>SUM(AA69:AA69)</f>
        <v>2361264.583333333</v>
      </c>
    </row>
    <row r="73" spans="1:27" ht="15">
      <c r="A73" t="s">
        <v>32</v>
      </c>
      <c r="B73" s="38" t="s">
        <v>9</v>
      </c>
      <c r="C73" s="39">
        <v>1380000</v>
      </c>
      <c r="D73" s="39" t="s">
        <v>57</v>
      </c>
      <c r="E73" s="39">
        <v>0</v>
      </c>
      <c r="F73" s="39">
        <f>0.25*C73</f>
        <v>345000</v>
      </c>
      <c r="G73" s="39">
        <f>0.5*C73</f>
        <v>690000</v>
      </c>
      <c r="H73" s="39">
        <f>0.25*C73</f>
        <v>345000</v>
      </c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</row>
    <row r="74" spans="2:27" ht="15">
      <c r="B74" s="32"/>
      <c r="C74" s="32"/>
      <c r="D74" s="39" t="s">
        <v>83</v>
      </c>
      <c r="E74" s="39">
        <v>0</v>
      </c>
      <c r="F74" s="39">
        <f>F73</f>
        <v>345000</v>
      </c>
      <c r="G74" s="39">
        <f>F73+G73</f>
        <v>1035000</v>
      </c>
      <c r="H74" s="39">
        <f>F73+G73+H73</f>
        <v>1380000</v>
      </c>
      <c r="I74" s="39">
        <f>H74-$H74/18</f>
        <v>1303333.3333333333</v>
      </c>
      <c r="J74" s="39">
        <f aca="true" t="shared" si="41" ref="J74:Z74">I74-$H74/18</f>
        <v>1226666.6666666665</v>
      </c>
      <c r="K74" s="39">
        <f t="shared" si="41"/>
        <v>1149999.9999999998</v>
      </c>
      <c r="L74" s="39">
        <f t="shared" si="41"/>
        <v>1073333.333333333</v>
      </c>
      <c r="M74" s="39">
        <f t="shared" si="41"/>
        <v>996666.6666666664</v>
      </c>
      <c r="N74" s="39">
        <f t="shared" si="41"/>
        <v>919999.9999999998</v>
      </c>
      <c r="O74" s="39">
        <f t="shared" si="41"/>
        <v>843333.3333333331</v>
      </c>
      <c r="P74" s="39">
        <f t="shared" si="41"/>
        <v>766666.6666666665</v>
      </c>
      <c r="Q74" s="39">
        <f t="shared" si="41"/>
        <v>689999.9999999999</v>
      </c>
      <c r="R74" s="39">
        <f t="shared" si="41"/>
        <v>613333.3333333333</v>
      </c>
      <c r="S74" s="39">
        <f t="shared" si="41"/>
        <v>536666.6666666666</v>
      </c>
      <c r="T74" s="39">
        <f t="shared" si="41"/>
        <v>459999.99999999994</v>
      </c>
      <c r="U74" s="39">
        <f t="shared" si="41"/>
        <v>383333.33333333326</v>
      </c>
      <c r="V74" s="39">
        <f t="shared" si="41"/>
        <v>306666.66666666657</v>
      </c>
      <c r="W74" s="39">
        <f t="shared" si="41"/>
        <v>229999.99999999988</v>
      </c>
      <c r="X74" s="39">
        <f t="shared" si="41"/>
        <v>153333.3333333332</v>
      </c>
      <c r="Y74" s="39">
        <f t="shared" si="41"/>
        <v>76666.66666666653</v>
      </c>
      <c r="Z74" s="39">
        <f t="shared" si="41"/>
        <v>-1.4551915228366852E-10</v>
      </c>
      <c r="AA74" s="39"/>
    </row>
    <row r="75" spans="2:27" ht="15">
      <c r="B75" s="32"/>
      <c r="C75" s="32"/>
      <c r="D75" s="39" t="s">
        <v>84</v>
      </c>
      <c r="E75" s="39">
        <v>0</v>
      </c>
      <c r="F75" s="39">
        <f>$E$6*E74</f>
        <v>0</v>
      </c>
      <c r="G75" s="39">
        <f>F74*$F$6</f>
        <v>2587.5</v>
      </c>
      <c r="H75" s="39">
        <f>G74*$G$6</f>
        <v>10350</v>
      </c>
      <c r="I75" s="39">
        <f>H74*$H$6</f>
        <v>17250</v>
      </c>
      <c r="J75" s="39">
        <f>I74*$I$6</f>
        <v>19550</v>
      </c>
      <c r="K75" s="39">
        <f>J74*$J$6</f>
        <v>21466.666666666664</v>
      </c>
      <c r="L75" s="39">
        <f>K74*$K$6</f>
        <v>22999.999999999996</v>
      </c>
      <c r="M75" s="39">
        <f>L74*$L$6</f>
        <v>24149.999999999993</v>
      </c>
      <c r="N75" s="39">
        <f>M74*$M$6</f>
        <v>24916.666666666657</v>
      </c>
      <c r="O75" s="39">
        <f>N74*$N$6</f>
        <v>25299.99999999999</v>
      </c>
      <c r="P75" s="39">
        <f>O74*$O$6</f>
        <v>25299.99999999999</v>
      </c>
      <c r="Q75" s="39">
        <f>P74*$P$6</f>
        <v>24916.666666666657</v>
      </c>
      <c r="R75" s="39">
        <f>Q74*$Q$6</f>
        <v>24149.999999999993</v>
      </c>
      <c r="S75" s="39">
        <f>R74*$R$6</f>
        <v>22999.999999999996</v>
      </c>
      <c r="T75" s="39">
        <f>S74*$S$6</f>
        <v>21466.666666666664</v>
      </c>
      <c r="U75" s="39">
        <f>T74*$T$6</f>
        <v>19550</v>
      </c>
      <c r="V75" s="39">
        <f>U74*$U$6</f>
        <v>17250</v>
      </c>
      <c r="W75" s="39">
        <f>V74*$V$6</f>
        <v>14566.666666666664</v>
      </c>
      <c r="X75" s="39">
        <f>W74*$W$6</f>
        <v>11499.999999999996</v>
      </c>
      <c r="Y75" s="39">
        <f>X74*$X$6</f>
        <v>8049.9999999999945</v>
      </c>
      <c r="Z75" s="39">
        <f>Y74*$Y$6</f>
        <v>4216.66666666666</v>
      </c>
      <c r="AA75" s="39">
        <f>SUM(E75:Z75)</f>
        <v>362537.5</v>
      </c>
    </row>
    <row r="76" spans="2:27" ht="15">
      <c r="B76" s="32"/>
      <c r="C76" s="32"/>
      <c r="D76" s="39" t="s">
        <v>85</v>
      </c>
      <c r="E76" s="39">
        <v>0</v>
      </c>
      <c r="F76" s="39">
        <v>0</v>
      </c>
      <c r="G76" s="39">
        <v>0</v>
      </c>
      <c r="H76" s="39"/>
      <c r="I76" s="39">
        <f>$H74/18</f>
        <v>76666.66666666667</v>
      </c>
      <c r="J76" s="39">
        <f aca="true" t="shared" si="42" ref="J76:Z76">$H74/18</f>
        <v>76666.66666666667</v>
      </c>
      <c r="K76" s="39">
        <f t="shared" si="42"/>
        <v>76666.66666666667</v>
      </c>
      <c r="L76" s="39">
        <f t="shared" si="42"/>
        <v>76666.66666666667</v>
      </c>
      <c r="M76" s="39">
        <f t="shared" si="42"/>
        <v>76666.66666666667</v>
      </c>
      <c r="N76" s="39">
        <f t="shared" si="42"/>
        <v>76666.66666666667</v>
      </c>
      <c r="O76" s="39">
        <f t="shared" si="42"/>
        <v>76666.66666666667</v>
      </c>
      <c r="P76" s="39">
        <f t="shared" si="42"/>
        <v>76666.66666666667</v>
      </c>
      <c r="Q76" s="39">
        <f t="shared" si="42"/>
        <v>76666.66666666667</v>
      </c>
      <c r="R76" s="39">
        <f t="shared" si="42"/>
        <v>76666.66666666667</v>
      </c>
      <c r="S76" s="39">
        <f t="shared" si="42"/>
        <v>76666.66666666667</v>
      </c>
      <c r="T76" s="39">
        <f t="shared" si="42"/>
        <v>76666.66666666667</v>
      </c>
      <c r="U76" s="39">
        <f t="shared" si="42"/>
        <v>76666.66666666667</v>
      </c>
      <c r="V76" s="39">
        <f t="shared" si="42"/>
        <v>76666.66666666667</v>
      </c>
      <c r="W76" s="39">
        <f t="shared" si="42"/>
        <v>76666.66666666667</v>
      </c>
      <c r="X76" s="39">
        <f t="shared" si="42"/>
        <v>76666.66666666667</v>
      </c>
      <c r="Y76" s="39">
        <f t="shared" si="42"/>
        <v>76666.66666666667</v>
      </c>
      <c r="Z76" s="39">
        <f t="shared" si="42"/>
        <v>76666.66666666667</v>
      </c>
      <c r="AA76" s="39">
        <f>SUM(E76:Z76)</f>
        <v>1380000.0000000002</v>
      </c>
    </row>
    <row r="77" spans="2:27" ht="15">
      <c r="B77" s="32"/>
      <c r="C77" s="32"/>
      <c r="D77" s="39" t="s">
        <v>86</v>
      </c>
      <c r="E77" s="39">
        <v>0</v>
      </c>
      <c r="F77" s="39">
        <f>F75+F76</f>
        <v>0</v>
      </c>
      <c r="G77" s="39">
        <f aca="true" t="shared" si="43" ref="G77:Z77">G75+G76</f>
        <v>2587.5</v>
      </c>
      <c r="H77" s="39">
        <f t="shared" si="43"/>
        <v>10350</v>
      </c>
      <c r="I77" s="39">
        <f t="shared" si="43"/>
        <v>93916.66666666667</v>
      </c>
      <c r="J77" s="39">
        <f t="shared" si="43"/>
        <v>96216.66666666667</v>
      </c>
      <c r="K77" s="39">
        <f t="shared" si="43"/>
        <v>98133.33333333334</v>
      </c>
      <c r="L77" s="39">
        <f t="shared" si="43"/>
        <v>99666.66666666667</v>
      </c>
      <c r="M77" s="39">
        <f t="shared" si="43"/>
        <v>100816.66666666666</v>
      </c>
      <c r="N77" s="39">
        <f t="shared" si="43"/>
        <v>101583.33333333333</v>
      </c>
      <c r="O77" s="39">
        <f t="shared" si="43"/>
        <v>101966.66666666666</v>
      </c>
      <c r="P77" s="39">
        <f t="shared" si="43"/>
        <v>101966.66666666666</v>
      </c>
      <c r="Q77" s="39">
        <f t="shared" si="43"/>
        <v>101583.33333333333</v>
      </c>
      <c r="R77" s="39">
        <f t="shared" si="43"/>
        <v>100816.66666666666</v>
      </c>
      <c r="S77" s="39">
        <f t="shared" si="43"/>
        <v>99666.66666666667</v>
      </c>
      <c r="T77" s="39">
        <f t="shared" si="43"/>
        <v>98133.33333333334</v>
      </c>
      <c r="U77" s="39">
        <f t="shared" si="43"/>
        <v>96216.66666666667</v>
      </c>
      <c r="V77" s="39">
        <f t="shared" si="43"/>
        <v>93916.66666666667</v>
      </c>
      <c r="W77" s="39">
        <f t="shared" si="43"/>
        <v>91233.33333333334</v>
      </c>
      <c r="X77" s="39">
        <f t="shared" si="43"/>
        <v>88166.66666666667</v>
      </c>
      <c r="Y77" s="39">
        <f t="shared" si="43"/>
        <v>84716.66666666667</v>
      </c>
      <c r="Z77" s="39">
        <f t="shared" si="43"/>
        <v>80883.33333333333</v>
      </c>
      <c r="AA77" s="40">
        <f>SUM(E77:Z77)</f>
        <v>1742537.5</v>
      </c>
    </row>
    <row r="78" spans="2:27" ht="15">
      <c r="B78" s="32" t="s">
        <v>87</v>
      </c>
      <c r="C78" s="39">
        <f>C73+450000</f>
        <v>1830000</v>
      </c>
      <c r="D78" s="39" t="s">
        <v>88</v>
      </c>
      <c r="E78" s="39"/>
      <c r="F78" s="39"/>
      <c r="G78" s="39"/>
      <c r="H78" s="39">
        <f>$C$78*0.65*0.03</f>
        <v>35685</v>
      </c>
      <c r="I78" s="39">
        <f aca="true" t="shared" si="44" ref="I78:Z78">$C$78*0.65*0.03</f>
        <v>35685</v>
      </c>
      <c r="J78" s="39">
        <f t="shared" si="44"/>
        <v>35685</v>
      </c>
      <c r="K78" s="39">
        <f t="shared" si="44"/>
        <v>35685</v>
      </c>
      <c r="L78" s="39">
        <f t="shared" si="44"/>
        <v>35685</v>
      </c>
      <c r="M78" s="39">
        <f t="shared" si="44"/>
        <v>35685</v>
      </c>
      <c r="N78" s="39">
        <f t="shared" si="44"/>
        <v>35685</v>
      </c>
      <c r="O78" s="39">
        <f t="shared" si="44"/>
        <v>35685</v>
      </c>
      <c r="P78" s="39">
        <f t="shared" si="44"/>
        <v>35685</v>
      </c>
      <c r="Q78" s="39">
        <f t="shared" si="44"/>
        <v>35685</v>
      </c>
      <c r="R78" s="39">
        <f t="shared" si="44"/>
        <v>35685</v>
      </c>
      <c r="S78" s="39">
        <f t="shared" si="44"/>
        <v>35685</v>
      </c>
      <c r="T78" s="39">
        <f t="shared" si="44"/>
        <v>35685</v>
      </c>
      <c r="U78" s="39">
        <f t="shared" si="44"/>
        <v>35685</v>
      </c>
      <c r="V78" s="39">
        <f t="shared" si="44"/>
        <v>35685</v>
      </c>
      <c r="W78" s="39">
        <f t="shared" si="44"/>
        <v>35685</v>
      </c>
      <c r="X78" s="39">
        <f t="shared" si="44"/>
        <v>35685</v>
      </c>
      <c r="Y78" s="39">
        <f t="shared" si="44"/>
        <v>35685</v>
      </c>
      <c r="Z78" s="39">
        <f t="shared" si="44"/>
        <v>35685</v>
      </c>
      <c r="AA78" s="40">
        <f>SUM(E78:Z78)</f>
        <v>678015</v>
      </c>
    </row>
    <row r="79" spans="2:27" ht="15">
      <c r="B79" s="32"/>
      <c r="C79" s="32"/>
      <c r="D79" s="40" t="s">
        <v>80</v>
      </c>
      <c r="E79" s="40">
        <f>SUM(E77:E78)</f>
        <v>0</v>
      </c>
      <c r="F79" s="40">
        <f aca="true" t="shared" si="45" ref="F79:Z79">SUM(F77:F78)</f>
        <v>0</v>
      </c>
      <c r="G79" s="40">
        <f t="shared" si="45"/>
        <v>2587.5</v>
      </c>
      <c r="H79" s="40">
        <f t="shared" si="45"/>
        <v>46035</v>
      </c>
      <c r="I79" s="40">
        <f t="shared" si="45"/>
        <v>129601.66666666667</v>
      </c>
      <c r="J79" s="40">
        <f t="shared" si="45"/>
        <v>131901.6666666667</v>
      </c>
      <c r="K79" s="40">
        <f t="shared" si="45"/>
        <v>133818.33333333334</v>
      </c>
      <c r="L79" s="40">
        <f t="shared" si="45"/>
        <v>135351.6666666667</v>
      </c>
      <c r="M79" s="40">
        <f t="shared" si="45"/>
        <v>136501.66666666666</v>
      </c>
      <c r="N79" s="40">
        <f t="shared" si="45"/>
        <v>137268.3333333333</v>
      </c>
      <c r="O79" s="40">
        <f t="shared" si="45"/>
        <v>137651.66666666666</v>
      </c>
      <c r="P79" s="40">
        <f t="shared" si="45"/>
        <v>137651.66666666666</v>
      </c>
      <c r="Q79" s="40">
        <f t="shared" si="45"/>
        <v>137268.3333333333</v>
      </c>
      <c r="R79" s="40">
        <f t="shared" si="45"/>
        <v>136501.66666666666</v>
      </c>
      <c r="S79" s="40">
        <f t="shared" si="45"/>
        <v>135351.6666666667</v>
      </c>
      <c r="T79" s="40">
        <f t="shared" si="45"/>
        <v>133818.33333333334</v>
      </c>
      <c r="U79" s="40">
        <f t="shared" si="45"/>
        <v>131901.6666666667</v>
      </c>
      <c r="V79" s="40">
        <f t="shared" si="45"/>
        <v>129601.66666666667</v>
      </c>
      <c r="W79" s="40">
        <f t="shared" si="45"/>
        <v>126918.33333333334</v>
      </c>
      <c r="X79" s="40">
        <f t="shared" si="45"/>
        <v>123851.66666666667</v>
      </c>
      <c r="Y79" s="40">
        <f t="shared" si="45"/>
        <v>120401.66666666667</v>
      </c>
      <c r="Z79" s="40">
        <f t="shared" si="45"/>
        <v>116568.33333333333</v>
      </c>
      <c r="AA79" s="40">
        <f>SUM(AA77:AA77)</f>
        <v>1742537.5</v>
      </c>
    </row>
    <row r="81" spans="1:27" ht="15">
      <c r="A81" t="s">
        <v>32</v>
      </c>
      <c r="B81" s="38" t="s">
        <v>10</v>
      </c>
      <c r="C81" s="39">
        <v>1420000</v>
      </c>
      <c r="D81" s="39" t="s">
        <v>57</v>
      </c>
      <c r="E81" s="39">
        <v>0</v>
      </c>
      <c r="F81" s="39">
        <f>0.25*C81</f>
        <v>355000</v>
      </c>
      <c r="G81" s="39">
        <f>0.5*C81</f>
        <v>710000</v>
      </c>
      <c r="H81" s="39">
        <f>0.25*C81</f>
        <v>355000</v>
      </c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</row>
    <row r="82" spans="2:27" ht="15">
      <c r="B82" s="32"/>
      <c r="C82" s="32"/>
      <c r="D82" s="39" t="s">
        <v>83</v>
      </c>
      <c r="E82" s="39">
        <v>0</v>
      </c>
      <c r="F82" s="39">
        <f>F81</f>
        <v>355000</v>
      </c>
      <c r="G82" s="39">
        <f>F81+G81</f>
        <v>1065000</v>
      </c>
      <c r="H82" s="39">
        <f>F81+G81+H81</f>
        <v>1420000</v>
      </c>
      <c r="I82" s="39">
        <f>H82-$H82/18</f>
        <v>1341111.111111111</v>
      </c>
      <c r="J82" s="39">
        <f aca="true" t="shared" si="46" ref="J82:Z82">I82-$H82/18</f>
        <v>1262222.222222222</v>
      </c>
      <c r="K82" s="39">
        <f t="shared" si="46"/>
        <v>1183333.333333333</v>
      </c>
      <c r="L82" s="39">
        <f t="shared" si="46"/>
        <v>1104444.444444444</v>
      </c>
      <c r="M82" s="39">
        <f t="shared" si="46"/>
        <v>1025555.5555555552</v>
      </c>
      <c r="N82" s="39">
        <f t="shared" si="46"/>
        <v>946666.6666666663</v>
      </c>
      <c r="O82" s="39">
        <f t="shared" si="46"/>
        <v>867777.7777777774</v>
      </c>
      <c r="P82" s="39">
        <f t="shared" si="46"/>
        <v>788888.8888888885</v>
      </c>
      <c r="Q82" s="39">
        <f t="shared" si="46"/>
        <v>709999.9999999997</v>
      </c>
      <c r="R82" s="39">
        <f t="shared" si="46"/>
        <v>631111.1111111108</v>
      </c>
      <c r="S82" s="39">
        <f t="shared" si="46"/>
        <v>552222.2222222219</v>
      </c>
      <c r="T82" s="39">
        <f t="shared" si="46"/>
        <v>473333.333333333</v>
      </c>
      <c r="U82" s="39">
        <f t="shared" si="46"/>
        <v>394444.44444444415</v>
      </c>
      <c r="V82" s="39">
        <f t="shared" si="46"/>
        <v>315555.5555555553</v>
      </c>
      <c r="W82" s="39">
        <f t="shared" si="46"/>
        <v>236666.6666666664</v>
      </c>
      <c r="X82" s="39">
        <f t="shared" si="46"/>
        <v>157777.77777777752</v>
      </c>
      <c r="Y82" s="39">
        <f t="shared" si="46"/>
        <v>78888.88888888863</v>
      </c>
      <c r="Z82" s="39">
        <f t="shared" si="46"/>
        <v>-2.6193447411060333E-10</v>
      </c>
      <c r="AA82" s="39"/>
    </row>
    <row r="83" spans="2:27" ht="15">
      <c r="B83" s="32"/>
      <c r="C83" s="32"/>
      <c r="D83" s="39" t="s">
        <v>84</v>
      </c>
      <c r="E83" s="39">
        <v>0</v>
      </c>
      <c r="F83" s="39">
        <f>$E$6*E82</f>
        <v>0</v>
      </c>
      <c r="G83" s="39">
        <f>F82*$F$6</f>
        <v>2662.5</v>
      </c>
      <c r="H83" s="39">
        <f>G82*$G$6</f>
        <v>10650</v>
      </c>
      <c r="I83" s="39">
        <f>H82*$H$6</f>
        <v>17750</v>
      </c>
      <c r="J83" s="39">
        <f>I82*$I$6</f>
        <v>20116.666666666668</v>
      </c>
      <c r="K83" s="39">
        <f>J82*$J$6</f>
        <v>22088.888888888887</v>
      </c>
      <c r="L83" s="39">
        <f>K82*$K$6</f>
        <v>23666.66666666666</v>
      </c>
      <c r="M83" s="39">
        <f>L82*$L$6</f>
        <v>24849.99999999999</v>
      </c>
      <c r="N83" s="39">
        <f>M82*$M$6</f>
        <v>25638.888888888876</v>
      </c>
      <c r="O83" s="39">
        <f>N82*$N$6</f>
        <v>26033.33333333332</v>
      </c>
      <c r="P83" s="39">
        <f>O82*$O$6</f>
        <v>26033.333333333318</v>
      </c>
      <c r="Q83" s="39">
        <f>P82*$P$6</f>
        <v>25638.888888888872</v>
      </c>
      <c r="R83" s="39">
        <f>Q82*$Q$6</f>
        <v>24849.999999999985</v>
      </c>
      <c r="S83" s="39">
        <f>R82*$R$6</f>
        <v>23666.666666666653</v>
      </c>
      <c r="T83" s="39">
        <f>S82*$S$6</f>
        <v>22088.888888888876</v>
      </c>
      <c r="U83" s="39">
        <f>T82*$T$6</f>
        <v>20116.666666666653</v>
      </c>
      <c r="V83" s="39">
        <f>U82*$U$6</f>
        <v>17749.99999999999</v>
      </c>
      <c r="W83" s="39">
        <f>V82*$V$6</f>
        <v>14988.888888888878</v>
      </c>
      <c r="X83" s="39">
        <f>W82*$W$6</f>
        <v>11833.333333333321</v>
      </c>
      <c r="Y83" s="39">
        <f>X82*$X$6</f>
        <v>8283.333333333321</v>
      </c>
      <c r="Z83" s="39">
        <f>Y82*$Y$6</f>
        <v>4338.888888888876</v>
      </c>
      <c r="AA83" s="39">
        <f>SUM(E83:Z83)</f>
        <v>373045.8333333331</v>
      </c>
    </row>
    <row r="84" spans="2:27" ht="15">
      <c r="B84" s="32"/>
      <c r="C84" s="32"/>
      <c r="D84" s="39" t="s">
        <v>85</v>
      </c>
      <c r="E84" s="39">
        <v>0</v>
      </c>
      <c r="F84" s="39">
        <v>0</v>
      </c>
      <c r="G84" s="39">
        <v>0</v>
      </c>
      <c r="H84" s="39"/>
      <c r="I84" s="39">
        <f>$H82/18</f>
        <v>78888.88888888889</v>
      </c>
      <c r="J84" s="39">
        <f aca="true" t="shared" si="47" ref="J84:Z84">$H82/18</f>
        <v>78888.88888888889</v>
      </c>
      <c r="K84" s="39">
        <f t="shared" si="47"/>
        <v>78888.88888888889</v>
      </c>
      <c r="L84" s="39">
        <f t="shared" si="47"/>
        <v>78888.88888888889</v>
      </c>
      <c r="M84" s="39">
        <f t="shared" si="47"/>
        <v>78888.88888888889</v>
      </c>
      <c r="N84" s="39">
        <f t="shared" si="47"/>
        <v>78888.88888888889</v>
      </c>
      <c r="O84" s="39">
        <f t="shared" si="47"/>
        <v>78888.88888888889</v>
      </c>
      <c r="P84" s="39">
        <f t="shared" si="47"/>
        <v>78888.88888888889</v>
      </c>
      <c r="Q84" s="39">
        <f t="shared" si="47"/>
        <v>78888.88888888889</v>
      </c>
      <c r="R84" s="39">
        <f t="shared" si="47"/>
        <v>78888.88888888889</v>
      </c>
      <c r="S84" s="39">
        <f t="shared" si="47"/>
        <v>78888.88888888889</v>
      </c>
      <c r="T84" s="39">
        <f t="shared" si="47"/>
        <v>78888.88888888889</v>
      </c>
      <c r="U84" s="39">
        <f t="shared" si="47"/>
        <v>78888.88888888889</v>
      </c>
      <c r="V84" s="39">
        <f t="shared" si="47"/>
        <v>78888.88888888889</v>
      </c>
      <c r="W84" s="39">
        <f t="shared" si="47"/>
        <v>78888.88888888889</v>
      </c>
      <c r="X84" s="39">
        <f t="shared" si="47"/>
        <v>78888.88888888889</v>
      </c>
      <c r="Y84" s="39">
        <f t="shared" si="47"/>
        <v>78888.88888888889</v>
      </c>
      <c r="Z84" s="39">
        <f t="shared" si="47"/>
        <v>78888.88888888889</v>
      </c>
      <c r="AA84" s="39">
        <f>SUM(E84:Z84)</f>
        <v>1420000.0000000005</v>
      </c>
    </row>
    <row r="85" spans="2:27" ht="15">
      <c r="B85" s="32"/>
      <c r="C85" s="32"/>
      <c r="D85" s="39" t="s">
        <v>86</v>
      </c>
      <c r="E85" s="39">
        <v>0</v>
      </c>
      <c r="F85" s="39">
        <f>F83+F84</f>
        <v>0</v>
      </c>
      <c r="G85" s="39">
        <f aca="true" t="shared" si="48" ref="G85:Z85">G83+G84</f>
        <v>2662.5</v>
      </c>
      <c r="H85" s="39">
        <f t="shared" si="48"/>
        <v>10650</v>
      </c>
      <c r="I85" s="39">
        <f t="shared" si="48"/>
        <v>96638.88888888889</v>
      </c>
      <c r="J85" s="39">
        <f t="shared" si="48"/>
        <v>99005.55555555556</v>
      </c>
      <c r="K85" s="39">
        <f t="shared" si="48"/>
        <v>100977.77777777778</v>
      </c>
      <c r="L85" s="39">
        <f t="shared" si="48"/>
        <v>102555.55555555555</v>
      </c>
      <c r="M85" s="39">
        <f t="shared" si="48"/>
        <v>103738.88888888888</v>
      </c>
      <c r="N85" s="39">
        <f t="shared" si="48"/>
        <v>104527.77777777777</v>
      </c>
      <c r="O85" s="39">
        <f t="shared" si="48"/>
        <v>104922.22222222222</v>
      </c>
      <c r="P85" s="39">
        <f t="shared" si="48"/>
        <v>104922.2222222222</v>
      </c>
      <c r="Q85" s="39">
        <f t="shared" si="48"/>
        <v>104527.77777777777</v>
      </c>
      <c r="R85" s="39">
        <f t="shared" si="48"/>
        <v>103738.88888888888</v>
      </c>
      <c r="S85" s="39">
        <f t="shared" si="48"/>
        <v>102555.55555555555</v>
      </c>
      <c r="T85" s="39">
        <f t="shared" si="48"/>
        <v>100977.77777777777</v>
      </c>
      <c r="U85" s="39">
        <f t="shared" si="48"/>
        <v>99005.55555555555</v>
      </c>
      <c r="V85" s="39">
        <f t="shared" si="48"/>
        <v>96638.88888888888</v>
      </c>
      <c r="W85" s="39">
        <f t="shared" si="48"/>
        <v>93877.77777777777</v>
      </c>
      <c r="X85" s="39">
        <f t="shared" si="48"/>
        <v>90722.22222222222</v>
      </c>
      <c r="Y85" s="39">
        <f t="shared" si="48"/>
        <v>87172.22222222222</v>
      </c>
      <c r="Z85" s="39">
        <f t="shared" si="48"/>
        <v>83227.77777777777</v>
      </c>
      <c r="AA85" s="40">
        <f>SUM(E85:Z85)</f>
        <v>1793045.8333333335</v>
      </c>
    </row>
    <row r="86" spans="2:27" ht="15">
      <c r="B86" s="32" t="s">
        <v>87</v>
      </c>
      <c r="C86" s="39">
        <f>C81+440000</f>
        <v>1860000</v>
      </c>
      <c r="D86" s="39" t="s">
        <v>88</v>
      </c>
      <c r="E86" s="39"/>
      <c r="F86" s="39"/>
      <c r="G86" s="39"/>
      <c r="H86" s="39">
        <f>$C$86*0.65*0.03</f>
        <v>36270</v>
      </c>
      <c r="I86" s="39">
        <f aca="true" t="shared" si="49" ref="I86:Z86">$C$86*0.65*0.03</f>
        <v>36270</v>
      </c>
      <c r="J86" s="39">
        <f t="shared" si="49"/>
        <v>36270</v>
      </c>
      <c r="K86" s="39">
        <f t="shared" si="49"/>
        <v>36270</v>
      </c>
      <c r="L86" s="39">
        <f t="shared" si="49"/>
        <v>36270</v>
      </c>
      <c r="M86" s="39">
        <f t="shared" si="49"/>
        <v>36270</v>
      </c>
      <c r="N86" s="39">
        <f t="shared" si="49"/>
        <v>36270</v>
      </c>
      <c r="O86" s="39">
        <f t="shared" si="49"/>
        <v>36270</v>
      </c>
      <c r="P86" s="39">
        <f t="shared" si="49"/>
        <v>36270</v>
      </c>
      <c r="Q86" s="39">
        <f t="shared" si="49"/>
        <v>36270</v>
      </c>
      <c r="R86" s="39">
        <f t="shared" si="49"/>
        <v>36270</v>
      </c>
      <c r="S86" s="39">
        <f t="shared" si="49"/>
        <v>36270</v>
      </c>
      <c r="T86" s="39">
        <f t="shared" si="49"/>
        <v>36270</v>
      </c>
      <c r="U86" s="39">
        <f t="shared" si="49"/>
        <v>36270</v>
      </c>
      <c r="V86" s="39">
        <f t="shared" si="49"/>
        <v>36270</v>
      </c>
      <c r="W86" s="39">
        <f t="shared" si="49"/>
        <v>36270</v>
      </c>
      <c r="X86" s="39">
        <f t="shared" si="49"/>
        <v>36270</v>
      </c>
      <c r="Y86" s="39">
        <f t="shared" si="49"/>
        <v>36270</v>
      </c>
      <c r="Z86" s="39">
        <f t="shared" si="49"/>
        <v>36270</v>
      </c>
      <c r="AA86" s="40">
        <f>SUM(E86:Z86)</f>
        <v>689130</v>
      </c>
    </row>
    <row r="87" spans="2:27" ht="15">
      <c r="B87" s="32"/>
      <c r="C87" s="32"/>
      <c r="D87" s="40" t="s">
        <v>80</v>
      </c>
      <c r="E87" s="40">
        <f>SUM(E85:E86)</f>
        <v>0</v>
      </c>
      <c r="F87" s="40">
        <f aca="true" t="shared" si="50" ref="F87:Z87">SUM(F85:F86)</f>
        <v>0</v>
      </c>
      <c r="G87" s="40">
        <f t="shared" si="50"/>
        <v>2662.5</v>
      </c>
      <c r="H87" s="40">
        <f t="shared" si="50"/>
        <v>46920</v>
      </c>
      <c r="I87" s="40">
        <f t="shared" si="50"/>
        <v>132908.88888888888</v>
      </c>
      <c r="J87" s="40">
        <f t="shared" si="50"/>
        <v>135275.55555555556</v>
      </c>
      <c r="K87" s="40">
        <f t="shared" si="50"/>
        <v>137247.77777777778</v>
      </c>
      <c r="L87" s="40">
        <f t="shared" si="50"/>
        <v>138825.55555555556</v>
      </c>
      <c r="M87" s="40">
        <f t="shared" si="50"/>
        <v>140008.88888888888</v>
      </c>
      <c r="N87" s="40">
        <f t="shared" si="50"/>
        <v>140797.77777777775</v>
      </c>
      <c r="O87" s="40">
        <f t="shared" si="50"/>
        <v>141192.22222222222</v>
      </c>
      <c r="P87" s="40">
        <f t="shared" si="50"/>
        <v>141192.2222222222</v>
      </c>
      <c r="Q87" s="40">
        <f t="shared" si="50"/>
        <v>140797.77777777775</v>
      </c>
      <c r="R87" s="40">
        <f t="shared" si="50"/>
        <v>140008.88888888888</v>
      </c>
      <c r="S87" s="40">
        <f t="shared" si="50"/>
        <v>138825.55555555556</v>
      </c>
      <c r="T87" s="40">
        <f t="shared" si="50"/>
        <v>137247.77777777775</v>
      </c>
      <c r="U87" s="40">
        <f t="shared" si="50"/>
        <v>135275.55555555556</v>
      </c>
      <c r="V87" s="40">
        <f t="shared" si="50"/>
        <v>132908.88888888888</v>
      </c>
      <c r="W87" s="40">
        <f t="shared" si="50"/>
        <v>130147.77777777777</v>
      </c>
      <c r="X87" s="40">
        <f t="shared" si="50"/>
        <v>126992.22222222222</v>
      </c>
      <c r="Y87" s="40">
        <f t="shared" si="50"/>
        <v>123442.22222222222</v>
      </c>
      <c r="Z87" s="40">
        <f t="shared" si="50"/>
        <v>119497.77777777777</v>
      </c>
      <c r="AA87" s="40">
        <f>SUM(AA85:AA85)</f>
        <v>1793045.8333333335</v>
      </c>
    </row>
    <row r="89" spans="1:27" ht="15">
      <c r="A89" t="s">
        <v>33</v>
      </c>
      <c r="B89" s="38" t="s">
        <v>11</v>
      </c>
      <c r="C89" s="39">
        <v>1070000</v>
      </c>
      <c r="D89" s="39" t="s">
        <v>57</v>
      </c>
      <c r="E89" s="39">
        <v>0</v>
      </c>
      <c r="F89" s="39">
        <f>0.25*C89</f>
        <v>267500</v>
      </c>
      <c r="G89" s="39">
        <f>0.5*C89</f>
        <v>535000</v>
      </c>
      <c r="H89" s="39">
        <f>0.25*C89</f>
        <v>267500</v>
      </c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</row>
    <row r="90" spans="2:27" ht="15">
      <c r="B90" s="32"/>
      <c r="C90" s="32"/>
      <c r="D90" s="39" t="s">
        <v>83</v>
      </c>
      <c r="E90" s="39">
        <v>0</v>
      </c>
      <c r="F90" s="39">
        <f>F89</f>
        <v>267500</v>
      </c>
      <c r="G90" s="39">
        <f>F89+G89</f>
        <v>802500</v>
      </c>
      <c r="H90" s="39">
        <f>F89+G89+H89</f>
        <v>1070000</v>
      </c>
      <c r="I90" s="39">
        <f>H90-$H90/18</f>
        <v>1010555.5555555555</v>
      </c>
      <c r="J90" s="39">
        <f aca="true" t="shared" si="51" ref="J90:Z90">I90-$H90/18</f>
        <v>951111.111111111</v>
      </c>
      <c r="K90" s="39">
        <f t="shared" si="51"/>
        <v>891666.6666666665</v>
      </c>
      <c r="L90" s="39">
        <f t="shared" si="51"/>
        <v>832222.222222222</v>
      </c>
      <c r="M90" s="39">
        <f t="shared" si="51"/>
        <v>772777.7777777775</v>
      </c>
      <c r="N90" s="39">
        <f t="shared" si="51"/>
        <v>713333.333333333</v>
      </c>
      <c r="O90" s="39">
        <f t="shared" si="51"/>
        <v>653888.8888888885</v>
      </c>
      <c r="P90" s="39">
        <f t="shared" si="51"/>
        <v>594444.444444444</v>
      </c>
      <c r="Q90" s="39">
        <f t="shared" si="51"/>
        <v>534999.9999999995</v>
      </c>
      <c r="R90" s="39">
        <f t="shared" si="51"/>
        <v>475555.5555555551</v>
      </c>
      <c r="S90" s="39">
        <f t="shared" si="51"/>
        <v>416111.11111111066</v>
      </c>
      <c r="T90" s="39">
        <f t="shared" si="51"/>
        <v>356666.6666666662</v>
      </c>
      <c r="U90" s="39">
        <f t="shared" si="51"/>
        <v>297222.2222222218</v>
      </c>
      <c r="V90" s="39">
        <f t="shared" si="51"/>
        <v>237777.77777777734</v>
      </c>
      <c r="W90" s="39">
        <f t="shared" si="51"/>
        <v>178333.3333333329</v>
      </c>
      <c r="X90" s="39">
        <f t="shared" si="51"/>
        <v>118888.88888888847</v>
      </c>
      <c r="Y90" s="39">
        <f t="shared" si="51"/>
        <v>59444.44444444402</v>
      </c>
      <c r="Z90" s="39">
        <f t="shared" si="51"/>
        <v>-4.220055416226387E-10</v>
      </c>
      <c r="AA90" s="39"/>
    </row>
    <row r="91" spans="2:27" ht="15">
      <c r="B91" s="32"/>
      <c r="C91" s="32"/>
      <c r="D91" s="39" t="s">
        <v>84</v>
      </c>
      <c r="E91" s="39">
        <v>0</v>
      </c>
      <c r="F91" s="39">
        <f>$E$6*E90</f>
        <v>0</v>
      </c>
      <c r="G91" s="39">
        <f>F90*$F$6</f>
        <v>2006.25</v>
      </c>
      <c r="H91" s="39">
        <f>G90*$G$6</f>
        <v>8025</v>
      </c>
      <c r="I91" s="39">
        <f>H90*$H$6</f>
        <v>13375</v>
      </c>
      <c r="J91" s="39">
        <f>I90*$I$6</f>
        <v>15158.333333333334</v>
      </c>
      <c r="K91" s="39">
        <f>J90*$J$6</f>
        <v>16644.444444444445</v>
      </c>
      <c r="L91" s="39">
        <f>K90*$K$6</f>
        <v>17833.333333333332</v>
      </c>
      <c r="M91" s="39">
        <f>L90*$L$6</f>
        <v>18724.999999999996</v>
      </c>
      <c r="N91" s="39">
        <f>M90*$M$6</f>
        <v>19319.444444444438</v>
      </c>
      <c r="O91" s="39">
        <f>N90*$N$6</f>
        <v>19616.666666666657</v>
      </c>
      <c r="P91" s="39">
        <f>O90*$O$6</f>
        <v>19616.666666666653</v>
      </c>
      <c r="Q91" s="39">
        <f>P90*$P$6</f>
        <v>19319.444444444427</v>
      </c>
      <c r="R91" s="39">
        <f>Q90*$Q$6</f>
        <v>18724.99999999998</v>
      </c>
      <c r="S91" s="39">
        <f>R90*$R$6</f>
        <v>17833.333333333314</v>
      </c>
      <c r="T91" s="39">
        <f>S90*$S$6</f>
        <v>16644.444444444427</v>
      </c>
      <c r="U91" s="39">
        <f>T90*$T$6</f>
        <v>15158.333333333316</v>
      </c>
      <c r="V91" s="39">
        <f>U90*$U$6</f>
        <v>13374.999999999982</v>
      </c>
      <c r="W91" s="39">
        <f>V90*$V$6</f>
        <v>11294.444444444425</v>
      </c>
      <c r="X91" s="39">
        <f>W90*$W$6</f>
        <v>8916.666666666648</v>
      </c>
      <c r="Y91" s="39">
        <f>X90*$X$6</f>
        <v>6241.666666666646</v>
      </c>
      <c r="Z91" s="39">
        <f>Y90*$Y$6</f>
        <v>3269.444444444422</v>
      </c>
      <c r="AA91" s="39">
        <f>SUM(E91:Z91)</f>
        <v>281097.9166666664</v>
      </c>
    </row>
    <row r="92" spans="2:27" ht="15">
      <c r="B92" s="32"/>
      <c r="C92" s="32"/>
      <c r="D92" s="39" t="s">
        <v>85</v>
      </c>
      <c r="E92" s="39">
        <v>0</v>
      </c>
      <c r="F92" s="39">
        <v>0</v>
      </c>
      <c r="G92" s="39">
        <v>0</v>
      </c>
      <c r="H92" s="39"/>
      <c r="I92" s="39">
        <f>$H90/18</f>
        <v>59444.444444444445</v>
      </c>
      <c r="J92" s="39">
        <f aca="true" t="shared" si="52" ref="J92:Z92">$H90/18</f>
        <v>59444.444444444445</v>
      </c>
      <c r="K92" s="39">
        <f t="shared" si="52"/>
        <v>59444.444444444445</v>
      </c>
      <c r="L92" s="39">
        <f t="shared" si="52"/>
        <v>59444.444444444445</v>
      </c>
      <c r="M92" s="39">
        <f t="shared" si="52"/>
        <v>59444.444444444445</v>
      </c>
      <c r="N92" s="39">
        <f t="shared" si="52"/>
        <v>59444.444444444445</v>
      </c>
      <c r="O92" s="39">
        <f t="shared" si="52"/>
        <v>59444.444444444445</v>
      </c>
      <c r="P92" s="39">
        <f t="shared" si="52"/>
        <v>59444.444444444445</v>
      </c>
      <c r="Q92" s="39">
        <f t="shared" si="52"/>
        <v>59444.444444444445</v>
      </c>
      <c r="R92" s="39">
        <f t="shared" si="52"/>
        <v>59444.444444444445</v>
      </c>
      <c r="S92" s="39">
        <f t="shared" si="52"/>
        <v>59444.444444444445</v>
      </c>
      <c r="T92" s="39">
        <f t="shared" si="52"/>
        <v>59444.444444444445</v>
      </c>
      <c r="U92" s="39">
        <f t="shared" si="52"/>
        <v>59444.444444444445</v>
      </c>
      <c r="V92" s="39">
        <f t="shared" si="52"/>
        <v>59444.444444444445</v>
      </c>
      <c r="W92" s="39">
        <f t="shared" si="52"/>
        <v>59444.444444444445</v>
      </c>
      <c r="X92" s="39">
        <f t="shared" si="52"/>
        <v>59444.444444444445</v>
      </c>
      <c r="Y92" s="39">
        <f t="shared" si="52"/>
        <v>59444.444444444445</v>
      </c>
      <c r="Z92" s="39">
        <f t="shared" si="52"/>
        <v>59444.444444444445</v>
      </c>
      <c r="AA92" s="39">
        <f>SUM(E92:Z92)</f>
        <v>1070000.0000000005</v>
      </c>
    </row>
    <row r="93" spans="2:27" ht="15">
      <c r="B93" s="32"/>
      <c r="C93" s="32"/>
      <c r="D93" s="39" t="s">
        <v>86</v>
      </c>
      <c r="E93" s="39">
        <v>0</v>
      </c>
      <c r="F93" s="39">
        <f>F91+F92</f>
        <v>0</v>
      </c>
      <c r="G93" s="39">
        <f aca="true" t="shared" si="53" ref="G93:Z93">G91+G92</f>
        <v>2006.25</v>
      </c>
      <c r="H93" s="39">
        <f t="shared" si="53"/>
        <v>8025</v>
      </c>
      <c r="I93" s="39">
        <f t="shared" si="53"/>
        <v>72819.44444444444</v>
      </c>
      <c r="J93" s="39">
        <f t="shared" si="53"/>
        <v>74602.77777777778</v>
      </c>
      <c r="K93" s="39">
        <f t="shared" si="53"/>
        <v>76088.88888888889</v>
      </c>
      <c r="L93" s="39">
        <f t="shared" si="53"/>
        <v>77277.77777777778</v>
      </c>
      <c r="M93" s="39">
        <f t="shared" si="53"/>
        <v>78169.44444444444</v>
      </c>
      <c r="N93" s="39">
        <f t="shared" si="53"/>
        <v>78763.88888888888</v>
      </c>
      <c r="O93" s="39">
        <f t="shared" si="53"/>
        <v>79061.1111111111</v>
      </c>
      <c r="P93" s="39">
        <f t="shared" si="53"/>
        <v>79061.1111111111</v>
      </c>
      <c r="Q93" s="39">
        <f t="shared" si="53"/>
        <v>78763.88888888888</v>
      </c>
      <c r="R93" s="39">
        <f t="shared" si="53"/>
        <v>78169.44444444442</v>
      </c>
      <c r="S93" s="39">
        <f t="shared" si="53"/>
        <v>77277.77777777775</v>
      </c>
      <c r="T93" s="39">
        <f t="shared" si="53"/>
        <v>76088.88888888888</v>
      </c>
      <c r="U93" s="39">
        <f t="shared" si="53"/>
        <v>74602.77777777777</v>
      </c>
      <c r="V93" s="39">
        <f t="shared" si="53"/>
        <v>72819.44444444442</v>
      </c>
      <c r="W93" s="39">
        <f t="shared" si="53"/>
        <v>70738.88888888888</v>
      </c>
      <c r="X93" s="39">
        <f t="shared" si="53"/>
        <v>68361.1111111111</v>
      </c>
      <c r="Y93" s="39">
        <f t="shared" si="53"/>
        <v>65686.1111111111</v>
      </c>
      <c r="Z93" s="39">
        <f t="shared" si="53"/>
        <v>62713.88888888887</v>
      </c>
      <c r="AA93" s="40">
        <f>SUM(E93:Z93)</f>
        <v>1351097.9166666663</v>
      </c>
    </row>
    <row r="94" spans="2:27" ht="15">
      <c r="B94" s="32" t="s">
        <v>87</v>
      </c>
      <c r="C94" s="39">
        <f>C89+370000</f>
        <v>1440000</v>
      </c>
      <c r="D94" s="39" t="s">
        <v>88</v>
      </c>
      <c r="E94" s="39"/>
      <c r="F94" s="39"/>
      <c r="G94" s="39"/>
      <c r="H94" s="39">
        <f>$C$94*0.65*0.03</f>
        <v>28080</v>
      </c>
      <c r="I94" s="39">
        <f aca="true" t="shared" si="54" ref="I94:Z94">$C$94*0.65*0.03</f>
        <v>28080</v>
      </c>
      <c r="J94" s="39">
        <f t="shared" si="54"/>
        <v>28080</v>
      </c>
      <c r="K94" s="39">
        <f t="shared" si="54"/>
        <v>28080</v>
      </c>
      <c r="L94" s="39">
        <f t="shared" si="54"/>
        <v>28080</v>
      </c>
      <c r="M94" s="39">
        <f t="shared" si="54"/>
        <v>28080</v>
      </c>
      <c r="N94" s="39">
        <f t="shared" si="54"/>
        <v>28080</v>
      </c>
      <c r="O94" s="39">
        <f t="shared" si="54"/>
        <v>28080</v>
      </c>
      <c r="P94" s="39">
        <f t="shared" si="54"/>
        <v>28080</v>
      </c>
      <c r="Q94" s="39">
        <f t="shared" si="54"/>
        <v>28080</v>
      </c>
      <c r="R94" s="39">
        <f t="shared" si="54"/>
        <v>28080</v>
      </c>
      <c r="S94" s="39">
        <f t="shared" si="54"/>
        <v>28080</v>
      </c>
      <c r="T94" s="39">
        <f t="shared" si="54"/>
        <v>28080</v>
      </c>
      <c r="U94" s="39">
        <f t="shared" si="54"/>
        <v>28080</v>
      </c>
      <c r="V94" s="39">
        <f t="shared" si="54"/>
        <v>28080</v>
      </c>
      <c r="W94" s="39">
        <f t="shared" si="54"/>
        <v>28080</v>
      </c>
      <c r="X94" s="39">
        <f t="shared" si="54"/>
        <v>28080</v>
      </c>
      <c r="Y94" s="39">
        <f t="shared" si="54"/>
        <v>28080</v>
      </c>
      <c r="Z94" s="39">
        <f t="shared" si="54"/>
        <v>28080</v>
      </c>
      <c r="AA94" s="40">
        <f>SUM(E94:Z94)</f>
        <v>533520</v>
      </c>
    </row>
    <row r="95" spans="2:27" ht="15">
      <c r="B95" s="32"/>
      <c r="C95" s="32"/>
      <c r="D95" s="40" t="s">
        <v>80</v>
      </c>
      <c r="E95" s="40">
        <f>SUM(E93:E94)</f>
        <v>0</v>
      </c>
      <c r="F95" s="40">
        <f aca="true" t="shared" si="55" ref="F95:Z95">SUM(F93:F94)</f>
        <v>0</v>
      </c>
      <c r="G95" s="40">
        <f t="shared" si="55"/>
        <v>2006.25</v>
      </c>
      <c r="H95" s="40">
        <f t="shared" si="55"/>
        <v>36105</v>
      </c>
      <c r="I95" s="40">
        <f t="shared" si="55"/>
        <v>100899.44444444444</v>
      </c>
      <c r="J95" s="40">
        <f t="shared" si="55"/>
        <v>102682.77777777778</v>
      </c>
      <c r="K95" s="40">
        <f t="shared" si="55"/>
        <v>104168.88888888889</v>
      </c>
      <c r="L95" s="40">
        <f t="shared" si="55"/>
        <v>105357.77777777778</v>
      </c>
      <c r="M95" s="40">
        <f t="shared" si="55"/>
        <v>106249.44444444444</v>
      </c>
      <c r="N95" s="40">
        <f t="shared" si="55"/>
        <v>106843.88888888888</v>
      </c>
      <c r="O95" s="40">
        <f t="shared" si="55"/>
        <v>107141.1111111111</v>
      </c>
      <c r="P95" s="40">
        <f t="shared" si="55"/>
        <v>107141.1111111111</v>
      </c>
      <c r="Q95" s="40">
        <f t="shared" si="55"/>
        <v>106843.88888888888</v>
      </c>
      <c r="R95" s="40">
        <f t="shared" si="55"/>
        <v>106249.44444444442</v>
      </c>
      <c r="S95" s="40">
        <f t="shared" si="55"/>
        <v>105357.77777777775</v>
      </c>
      <c r="T95" s="40">
        <f t="shared" si="55"/>
        <v>104168.88888888888</v>
      </c>
      <c r="U95" s="40">
        <f t="shared" si="55"/>
        <v>102682.77777777777</v>
      </c>
      <c r="V95" s="40">
        <f t="shared" si="55"/>
        <v>100899.44444444442</v>
      </c>
      <c r="W95" s="40">
        <f t="shared" si="55"/>
        <v>98818.88888888888</v>
      </c>
      <c r="X95" s="40">
        <f t="shared" si="55"/>
        <v>96441.1111111111</v>
      </c>
      <c r="Y95" s="40">
        <f t="shared" si="55"/>
        <v>93766.1111111111</v>
      </c>
      <c r="Z95" s="40">
        <f t="shared" si="55"/>
        <v>90793.88888888888</v>
      </c>
      <c r="AA95" s="40">
        <f>SUM(AA93:AA93)</f>
        <v>1351097.9166666663</v>
      </c>
    </row>
    <row r="97" spans="1:27" ht="15">
      <c r="A97" t="s">
        <v>33</v>
      </c>
      <c r="B97" s="38" t="s">
        <v>12</v>
      </c>
      <c r="C97" s="39">
        <v>1960000</v>
      </c>
      <c r="D97" s="39" t="s">
        <v>57</v>
      </c>
      <c r="E97" s="39">
        <v>0</v>
      </c>
      <c r="F97" s="39">
        <f>0.25*C97</f>
        <v>490000</v>
      </c>
      <c r="G97" s="39">
        <f>0.5*C97</f>
        <v>980000</v>
      </c>
      <c r="H97" s="39">
        <f>0.25*C97</f>
        <v>490000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</row>
    <row r="98" spans="2:27" ht="15">
      <c r="B98" s="32"/>
      <c r="C98" s="32"/>
      <c r="D98" s="39" t="s">
        <v>83</v>
      </c>
      <c r="E98" s="39">
        <v>0</v>
      </c>
      <c r="F98" s="39">
        <f>F97</f>
        <v>490000</v>
      </c>
      <c r="G98" s="39">
        <f>F97+G97</f>
        <v>1470000</v>
      </c>
      <c r="H98" s="39">
        <f>F97+G97+H97</f>
        <v>1960000</v>
      </c>
      <c r="I98" s="39">
        <f>H98-$H98/18</f>
        <v>1851111.111111111</v>
      </c>
      <c r="J98" s="39">
        <f aca="true" t="shared" si="56" ref="J98:Z98">I98-$H98/18</f>
        <v>1742222.222222222</v>
      </c>
      <c r="K98" s="39">
        <f t="shared" si="56"/>
        <v>1633333.333333333</v>
      </c>
      <c r="L98" s="39">
        <f t="shared" si="56"/>
        <v>1524444.444444444</v>
      </c>
      <c r="M98" s="39">
        <f t="shared" si="56"/>
        <v>1415555.555555555</v>
      </c>
      <c r="N98" s="39">
        <f t="shared" si="56"/>
        <v>1306666.666666666</v>
      </c>
      <c r="O98" s="39">
        <f t="shared" si="56"/>
        <v>1197777.777777777</v>
      </c>
      <c r="P98" s="39">
        <f t="shared" si="56"/>
        <v>1088888.888888888</v>
      </c>
      <c r="Q98" s="39">
        <f t="shared" si="56"/>
        <v>979999.9999999992</v>
      </c>
      <c r="R98" s="39">
        <f t="shared" si="56"/>
        <v>871111.1111111103</v>
      </c>
      <c r="S98" s="39">
        <f t="shared" si="56"/>
        <v>762222.2222222214</v>
      </c>
      <c r="T98" s="39">
        <f t="shared" si="56"/>
        <v>653333.3333333326</v>
      </c>
      <c r="U98" s="39">
        <f t="shared" si="56"/>
        <v>544444.4444444437</v>
      </c>
      <c r="V98" s="39">
        <f t="shared" si="56"/>
        <v>435555.5555555548</v>
      </c>
      <c r="W98" s="39">
        <f t="shared" si="56"/>
        <v>326666.66666666593</v>
      </c>
      <c r="X98" s="39">
        <f t="shared" si="56"/>
        <v>217777.77777777705</v>
      </c>
      <c r="Y98" s="39">
        <f t="shared" si="56"/>
        <v>108888.88888888816</v>
      </c>
      <c r="Z98" s="39">
        <f t="shared" si="56"/>
        <v>-7.275957614183426E-10</v>
      </c>
      <c r="AA98" s="39"/>
    </row>
    <row r="99" spans="2:27" ht="15">
      <c r="B99" s="32"/>
      <c r="C99" s="32"/>
      <c r="D99" s="39" t="s">
        <v>84</v>
      </c>
      <c r="E99" s="39">
        <v>0</v>
      </c>
      <c r="F99" s="39">
        <f>$E$6*E98</f>
        <v>0</v>
      </c>
      <c r="G99" s="39">
        <f>F98*$F$6</f>
        <v>3675</v>
      </c>
      <c r="H99" s="39">
        <f>G98*$G$6</f>
        <v>14700</v>
      </c>
      <c r="I99" s="39">
        <f>H98*$H$6</f>
        <v>24500</v>
      </c>
      <c r="J99" s="39">
        <f>I98*$I$6</f>
        <v>27766.666666666668</v>
      </c>
      <c r="K99" s="39">
        <f>J98*$J$6</f>
        <v>30488.888888888887</v>
      </c>
      <c r="L99" s="39">
        <f>K98*$K$6</f>
        <v>32666.66666666666</v>
      </c>
      <c r="M99" s="39">
        <f>L98*$L$6</f>
        <v>34299.99999999999</v>
      </c>
      <c r="N99" s="39">
        <f>M98*$M$6</f>
        <v>35388.888888888876</v>
      </c>
      <c r="O99" s="39">
        <f>N98*$N$6</f>
        <v>35933.333333333314</v>
      </c>
      <c r="P99" s="39">
        <f>O98*$O$6</f>
        <v>35933.33333333331</v>
      </c>
      <c r="Q99" s="39">
        <f>P98*$P$6</f>
        <v>35388.888888888854</v>
      </c>
      <c r="R99" s="39">
        <f>Q98*$Q$6</f>
        <v>34299.99999999997</v>
      </c>
      <c r="S99" s="39">
        <f>R98*$R$6</f>
        <v>32666.666666666635</v>
      </c>
      <c r="T99" s="39">
        <f>S98*$S$6</f>
        <v>30488.888888888858</v>
      </c>
      <c r="U99" s="39">
        <f>T98*$T$6</f>
        <v>27766.666666666635</v>
      </c>
      <c r="V99" s="39">
        <f>U98*$U$6</f>
        <v>24499.999999999967</v>
      </c>
      <c r="W99" s="39">
        <f>V98*$V$6</f>
        <v>20688.888888888858</v>
      </c>
      <c r="X99" s="39">
        <f>W98*$W$6</f>
        <v>16333.3333333333</v>
      </c>
      <c r="Y99" s="39">
        <f>X98*$X$6</f>
        <v>11433.333333333298</v>
      </c>
      <c r="Z99" s="39">
        <f>Y98*$Y$6</f>
        <v>5988.8888888888505</v>
      </c>
      <c r="AA99" s="39">
        <f>SUM(E99:Z99)</f>
        <v>514908.33333333296</v>
      </c>
    </row>
    <row r="100" spans="2:27" ht="15">
      <c r="B100" s="32"/>
      <c r="C100" s="32"/>
      <c r="D100" s="39" t="s">
        <v>85</v>
      </c>
      <c r="E100" s="39">
        <v>0</v>
      </c>
      <c r="F100" s="39">
        <v>0</v>
      </c>
      <c r="G100" s="39">
        <v>0</v>
      </c>
      <c r="H100" s="39"/>
      <c r="I100" s="39">
        <f>$H98/18</f>
        <v>108888.88888888889</v>
      </c>
      <c r="J100" s="39">
        <f aca="true" t="shared" si="57" ref="J100:Z100">$H98/18</f>
        <v>108888.88888888889</v>
      </c>
      <c r="K100" s="39">
        <f t="shared" si="57"/>
        <v>108888.88888888889</v>
      </c>
      <c r="L100" s="39">
        <f t="shared" si="57"/>
        <v>108888.88888888889</v>
      </c>
      <c r="M100" s="39">
        <f t="shared" si="57"/>
        <v>108888.88888888889</v>
      </c>
      <c r="N100" s="39">
        <f t="shared" si="57"/>
        <v>108888.88888888889</v>
      </c>
      <c r="O100" s="39">
        <f t="shared" si="57"/>
        <v>108888.88888888889</v>
      </c>
      <c r="P100" s="39">
        <f t="shared" si="57"/>
        <v>108888.88888888889</v>
      </c>
      <c r="Q100" s="39">
        <f t="shared" si="57"/>
        <v>108888.88888888889</v>
      </c>
      <c r="R100" s="39">
        <f t="shared" si="57"/>
        <v>108888.88888888889</v>
      </c>
      <c r="S100" s="39">
        <f t="shared" si="57"/>
        <v>108888.88888888889</v>
      </c>
      <c r="T100" s="39">
        <f t="shared" si="57"/>
        <v>108888.88888888889</v>
      </c>
      <c r="U100" s="39">
        <f t="shared" si="57"/>
        <v>108888.88888888889</v>
      </c>
      <c r="V100" s="39">
        <f t="shared" si="57"/>
        <v>108888.88888888889</v>
      </c>
      <c r="W100" s="39">
        <f t="shared" si="57"/>
        <v>108888.88888888889</v>
      </c>
      <c r="X100" s="39">
        <f t="shared" si="57"/>
        <v>108888.88888888889</v>
      </c>
      <c r="Y100" s="39">
        <f t="shared" si="57"/>
        <v>108888.88888888889</v>
      </c>
      <c r="Z100" s="39">
        <f t="shared" si="57"/>
        <v>108888.88888888889</v>
      </c>
      <c r="AA100" s="39">
        <f>SUM(E100:Z100)</f>
        <v>1960000.000000001</v>
      </c>
    </row>
    <row r="101" spans="2:27" ht="15">
      <c r="B101" s="32"/>
      <c r="C101" s="32"/>
      <c r="D101" s="39" t="s">
        <v>86</v>
      </c>
      <c r="E101" s="39">
        <v>0</v>
      </c>
      <c r="F101" s="39">
        <f>F99+F100</f>
        <v>0</v>
      </c>
      <c r="G101" s="39">
        <f aca="true" t="shared" si="58" ref="G101:Z101">G99+G100</f>
        <v>3675</v>
      </c>
      <c r="H101" s="39">
        <f t="shared" si="58"/>
        <v>14700</v>
      </c>
      <c r="I101" s="39">
        <f t="shared" si="58"/>
        <v>133388.88888888888</v>
      </c>
      <c r="J101" s="39">
        <f t="shared" si="58"/>
        <v>136655.55555555556</v>
      </c>
      <c r="K101" s="39">
        <f t="shared" si="58"/>
        <v>139377.77777777778</v>
      </c>
      <c r="L101" s="39">
        <f t="shared" si="58"/>
        <v>141555.55555555556</v>
      </c>
      <c r="M101" s="39">
        <f t="shared" si="58"/>
        <v>143188.88888888888</v>
      </c>
      <c r="N101" s="39">
        <f t="shared" si="58"/>
        <v>144277.77777777775</v>
      </c>
      <c r="O101" s="39">
        <f t="shared" si="58"/>
        <v>144822.2222222222</v>
      </c>
      <c r="P101" s="39">
        <f t="shared" si="58"/>
        <v>144822.2222222222</v>
      </c>
      <c r="Q101" s="39">
        <f t="shared" si="58"/>
        <v>144277.77777777775</v>
      </c>
      <c r="R101" s="39">
        <f t="shared" si="58"/>
        <v>143188.88888888888</v>
      </c>
      <c r="S101" s="39">
        <f t="shared" si="58"/>
        <v>141555.55555555553</v>
      </c>
      <c r="T101" s="39">
        <f t="shared" si="58"/>
        <v>139377.77777777775</v>
      </c>
      <c r="U101" s="39">
        <f t="shared" si="58"/>
        <v>136655.55555555553</v>
      </c>
      <c r="V101" s="39">
        <f t="shared" si="58"/>
        <v>133388.88888888885</v>
      </c>
      <c r="W101" s="39">
        <f t="shared" si="58"/>
        <v>129577.77777777775</v>
      </c>
      <c r="X101" s="39">
        <f t="shared" si="58"/>
        <v>125222.22222222219</v>
      </c>
      <c r="Y101" s="39">
        <f t="shared" si="58"/>
        <v>120322.22222222219</v>
      </c>
      <c r="Z101" s="39">
        <f t="shared" si="58"/>
        <v>114877.77777777774</v>
      </c>
      <c r="AA101" s="40">
        <f>SUM(E101:Z101)</f>
        <v>2474908.3333333326</v>
      </c>
    </row>
    <row r="102" spans="2:27" ht="15">
      <c r="B102" s="32" t="s">
        <v>87</v>
      </c>
      <c r="C102" s="39">
        <f>C97+680000</f>
        <v>2640000</v>
      </c>
      <c r="D102" s="39" t="s">
        <v>88</v>
      </c>
      <c r="E102" s="39"/>
      <c r="F102" s="39"/>
      <c r="G102" s="39"/>
      <c r="H102" s="39">
        <f>$C$102*0.65*0.03</f>
        <v>51480</v>
      </c>
      <c r="I102" s="39">
        <f aca="true" t="shared" si="59" ref="I102:Z102">$C$102*0.65*0.03</f>
        <v>51480</v>
      </c>
      <c r="J102" s="39">
        <f t="shared" si="59"/>
        <v>51480</v>
      </c>
      <c r="K102" s="39">
        <f t="shared" si="59"/>
        <v>51480</v>
      </c>
      <c r="L102" s="39">
        <f t="shared" si="59"/>
        <v>51480</v>
      </c>
      <c r="M102" s="39">
        <f t="shared" si="59"/>
        <v>51480</v>
      </c>
      <c r="N102" s="39">
        <f t="shared" si="59"/>
        <v>51480</v>
      </c>
      <c r="O102" s="39">
        <f t="shared" si="59"/>
        <v>51480</v>
      </c>
      <c r="P102" s="39">
        <f t="shared" si="59"/>
        <v>51480</v>
      </c>
      <c r="Q102" s="39">
        <f t="shared" si="59"/>
        <v>51480</v>
      </c>
      <c r="R102" s="39">
        <f t="shared" si="59"/>
        <v>51480</v>
      </c>
      <c r="S102" s="39">
        <f t="shared" si="59"/>
        <v>51480</v>
      </c>
      <c r="T102" s="39">
        <f t="shared" si="59"/>
        <v>51480</v>
      </c>
      <c r="U102" s="39">
        <f t="shared" si="59"/>
        <v>51480</v>
      </c>
      <c r="V102" s="39">
        <f t="shared" si="59"/>
        <v>51480</v>
      </c>
      <c r="W102" s="39">
        <f t="shared" si="59"/>
        <v>51480</v>
      </c>
      <c r="X102" s="39">
        <f t="shared" si="59"/>
        <v>51480</v>
      </c>
      <c r="Y102" s="39">
        <f t="shared" si="59"/>
        <v>51480</v>
      </c>
      <c r="Z102" s="39">
        <f t="shared" si="59"/>
        <v>51480</v>
      </c>
      <c r="AA102" s="40">
        <f>SUM(E102:Z102)</f>
        <v>978120</v>
      </c>
    </row>
    <row r="103" spans="2:27" ht="15">
      <c r="B103" s="32"/>
      <c r="C103" s="32"/>
      <c r="D103" s="40" t="s">
        <v>80</v>
      </c>
      <c r="E103" s="40">
        <f>SUM(E101:E102)</f>
        <v>0</v>
      </c>
      <c r="F103" s="40">
        <f aca="true" t="shared" si="60" ref="F103:Z103">SUM(F101:F102)</f>
        <v>0</v>
      </c>
      <c r="G103" s="40">
        <f t="shared" si="60"/>
        <v>3675</v>
      </c>
      <c r="H103" s="40">
        <f t="shared" si="60"/>
        <v>66180</v>
      </c>
      <c r="I103" s="40">
        <f t="shared" si="60"/>
        <v>184868.88888888888</v>
      </c>
      <c r="J103" s="40">
        <f t="shared" si="60"/>
        <v>188135.55555555556</v>
      </c>
      <c r="K103" s="40">
        <f t="shared" si="60"/>
        <v>190857.77777777778</v>
      </c>
      <c r="L103" s="40">
        <f t="shared" si="60"/>
        <v>193035.55555555556</v>
      </c>
      <c r="M103" s="40">
        <f t="shared" si="60"/>
        <v>194668.88888888888</v>
      </c>
      <c r="N103" s="40">
        <f t="shared" si="60"/>
        <v>195757.77777777775</v>
      </c>
      <c r="O103" s="40">
        <f t="shared" si="60"/>
        <v>196302.2222222222</v>
      </c>
      <c r="P103" s="40">
        <f t="shared" si="60"/>
        <v>196302.2222222222</v>
      </c>
      <c r="Q103" s="40">
        <f t="shared" si="60"/>
        <v>195757.77777777775</v>
      </c>
      <c r="R103" s="40">
        <f t="shared" si="60"/>
        <v>194668.88888888888</v>
      </c>
      <c r="S103" s="40">
        <f t="shared" si="60"/>
        <v>193035.55555555553</v>
      </c>
      <c r="T103" s="40">
        <f t="shared" si="60"/>
        <v>190857.77777777775</v>
      </c>
      <c r="U103" s="40">
        <f t="shared" si="60"/>
        <v>188135.55555555553</v>
      </c>
      <c r="V103" s="40">
        <f t="shared" si="60"/>
        <v>184868.88888888885</v>
      </c>
      <c r="W103" s="40">
        <f t="shared" si="60"/>
        <v>181057.77777777775</v>
      </c>
      <c r="X103" s="40">
        <f t="shared" si="60"/>
        <v>176702.2222222222</v>
      </c>
      <c r="Y103" s="40">
        <f t="shared" si="60"/>
        <v>171802.2222222222</v>
      </c>
      <c r="Z103" s="40">
        <f t="shared" si="60"/>
        <v>166357.77777777775</v>
      </c>
      <c r="AA103" s="40">
        <f>SUM(AA101:AA101)</f>
        <v>2474908.3333333326</v>
      </c>
    </row>
    <row r="105" spans="1:27" ht="15">
      <c r="A105" t="s">
        <v>32</v>
      </c>
      <c r="B105" s="38" t="s">
        <v>13</v>
      </c>
      <c r="C105" s="39">
        <v>420000</v>
      </c>
      <c r="D105" s="39" t="s">
        <v>57</v>
      </c>
      <c r="E105" s="39">
        <v>0</v>
      </c>
      <c r="F105" s="39">
        <f>0.25*C105</f>
        <v>105000</v>
      </c>
      <c r="G105" s="39">
        <f>0.5*C105</f>
        <v>210000</v>
      </c>
      <c r="H105" s="39">
        <f>0.25*C105</f>
        <v>105000</v>
      </c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</row>
    <row r="106" spans="2:27" ht="15">
      <c r="B106" s="32"/>
      <c r="C106" s="32"/>
      <c r="D106" s="39" t="s">
        <v>83</v>
      </c>
      <c r="E106" s="39">
        <v>0</v>
      </c>
      <c r="F106" s="39">
        <f>F105</f>
        <v>105000</v>
      </c>
      <c r="G106" s="39">
        <f>F105+G105</f>
        <v>315000</v>
      </c>
      <c r="H106" s="39">
        <f>F105+G105+H105</f>
        <v>420000</v>
      </c>
      <c r="I106" s="39">
        <f>H106-$H106/18</f>
        <v>396666.6666666667</v>
      </c>
      <c r="J106" s="39">
        <f aca="true" t="shared" si="61" ref="J106:Z106">I106-$H106/18</f>
        <v>373333.3333333334</v>
      </c>
      <c r="K106" s="39">
        <f t="shared" si="61"/>
        <v>350000.00000000006</v>
      </c>
      <c r="L106" s="39">
        <f t="shared" si="61"/>
        <v>326666.66666666674</v>
      </c>
      <c r="M106" s="39">
        <f t="shared" si="61"/>
        <v>303333.33333333343</v>
      </c>
      <c r="N106" s="39">
        <f t="shared" si="61"/>
        <v>280000.0000000001</v>
      </c>
      <c r="O106" s="39">
        <f t="shared" si="61"/>
        <v>256666.66666666677</v>
      </c>
      <c r="P106" s="39">
        <f t="shared" si="61"/>
        <v>233333.33333333343</v>
      </c>
      <c r="Q106" s="39">
        <f t="shared" si="61"/>
        <v>210000.0000000001</v>
      </c>
      <c r="R106" s="39">
        <f t="shared" si="61"/>
        <v>186666.66666666674</v>
      </c>
      <c r="S106" s="39">
        <f t="shared" si="61"/>
        <v>163333.3333333334</v>
      </c>
      <c r="T106" s="39">
        <f t="shared" si="61"/>
        <v>140000.00000000006</v>
      </c>
      <c r="U106" s="39">
        <f t="shared" si="61"/>
        <v>116666.66666666673</v>
      </c>
      <c r="V106" s="39">
        <f t="shared" si="61"/>
        <v>93333.3333333334</v>
      </c>
      <c r="W106" s="39">
        <f t="shared" si="61"/>
        <v>70000.00000000007</v>
      </c>
      <c r="X106" s="39">
        <f t="shared" si="61"/>
        <v>46666.666666666744</v>
      </c>
      <c r="Y106" s="39">
        <f t="shared" si="61"/>
        <v>23333.333333333412</v>
      </c>
      <c r="Z106" s="39">
        <f t="shared" si="61"/>
        <v>8.003553375601768E-11</v>
      </c>
      <c r="AA106" s="39"/>
    </row>
    <row r="107" spans="2:27" ht="15">
      <c r="B107" s="32"/>
      <c r="C107" s="32"/>
      <c r="D107" s="39" t="s">
        <v>84</v>
      </c>
      <c r="E107" s="39">
        <v>0</v>
      </c>
      <c r="F107" s="39">
        <f>$E$6*E106</f>
        <v>0</v>
      </c>
      <c r="G107" s="39">
        <f>F106*$F$6</f>
        <v>787.5</v>
      </c>
      <c r="H107" s="39">
        <f>G106*$G$6</f>
        <v>3150</v>
      </c>
      <c r="I107" s="39">
        <f>H106*$H$6</f>
        <v>5250</v>
      </c>
      <c r="J107" s="39">
        <f>I106*$I$6</f>
        <v>5950.000000000001</v>
      </c>
      <c r="K107" s="39">
        <f>J106*$J$6</f>
        <v>6533.333333333335</v>
      </c>
      <c r="L107" s="39">
        <f>K106*$K$6</f>
        <v>7000.000000000001</v>
      </c>
      <c r="M107" s="39">
        <f>L106*$L$6</f>
        <v>7350.000000000002</v>
      </c>
      <c r="N107" s="39">
        <f>M106*$M$6</f>
        <v>7583.333333333335</v>
      </c>
      <c r="O107" s="39">
        <f>N106*$N$6</f>
        <v>7700.000000000002</v>
      </c>
      <c r="P107" s="39">
        <f>O106*$O$6</f>
        <v>7700.000000000002</v>
      </c>
      <c r="Q107" s="39">
        <f>P106*$P$6</f>
        <v>7583.333333333335</v>
      </c>
      <c r="R107" s="39">
        <f>Q106*$Q$6</f>
        <v>7350.000000000003</v>
      </c>
      <c r="S107" s="39">
        <f>R106*$R$6</f>
        <v>7000.000000000003</v>
      </c>
      <c r="T107" s="39">
        <f>S106*$S$6</f>
        <v>6533.333333333336</v>
      </c>
      <c r="U107" s="39">
        <f>T106*$T$6</f>
        <v>5950.000000000003</v>
      </c>
      <c r="V107" s="39">
        <f>U106*$U$6</f>
        <v>5250.000000000004</v>
      </c>
      <c r="W107" s="39">
        <f>V106*$V$6</f>
        <v>4433.333333333338</v>
      </c>
      <c r="X107" s="39">
        <f>W106*$W$6</f>
        <v>3500.000000000004</v>
      </c>
      <c r="Y107" s="39">
        <f>X106*$X$6</f>
        <v>2450.0000000000045</v>
      </c>
      <c r="Z107" s="39">
        <f>Y106*$Y$6</f>
        <v>1283.333333333338</v>
      </c>
      <c r="AA107" s="39">
        <f>SUM(E107:Z107)</f>
        <v>110337.50000000003</v>
      </c>
    </row>
    <row r="108" spans="2:27" ht="15">
      <c r="B108" s="32"/>
      <c r="C108" s="32"/>
      <c r="D108" s="39" t="s">
        <v>85</v>
      </c>
      <c r="E108" s="39">
        <v>0</v>
      </c>
      <c r="F108" s="39">
        <v>0</v>
      </c>
      <c r="G108" s="39">
        <v>0</v>
      </c>
      <c r="H108" s="39"/>
      <c r="I108" s="39">
        <f>$H106/18</f>
        <v>23333.333333333332</v>
      </c>
      <c r="J108" s="39">
        <f aca="true" t="shared" si="62" ref="J108:Z108">$H106/18</f>
        <v>23333.333333333332</v>
      </c>
      <c r="K108" s="39">
        <f t="shared" si="62"/>
        <v>23333.333333333332</v>
      </c>
      <c r="L108" s="39">
        <f t="shared" si="62"/>
        <v>23333.333333333332</v>
      </c>
      <c r="M108" s="39">
        <f t="shared" si="62"/>
        <v>23333.333333333332</v>
      </c>
      <c r="N108" s="39">
        <f t="shared" si="62"/>
        <v>23333.333333333332</v>
      </c>
      <c r="O108" s="39">
        <f t="shared" si="62"/>
        <v>23333.333333333332</v>
      </c>
      <c r="P108" s="39">
        <f t="shared" si="62"/>
        <v>23333.333333333332</v>
      </c>
      <c r="Q108" s="39">
        <f t="shared" si="62"/>
        <v>23333.333333333332</v>
      </c>
      <c r="R108" s="39">
        <f t="shared" si="62"/>
        <v>23333.333333333332</v>
      </c>
      <c r="S108" s="39">
        <f t="shared" si="62"/>
        <v>23333.333333333332</v>
      </c>
      <c r="T108" s="39">
        <f t="shared" si="62"/>
        <v>23333.333333333332</v>
      </c>
      <c r="U108" s="39">
        <f t="shared" si="62"/>
        <v>23333.333333333332</v>
      </c>
      <c r="V108" s="39">
        <f t="shared" si="62"/>
        <v>23333.333333333332</v>
      </c>
      <c r="W108" s="39">
        <f t="shared" si="62"/>
        <v>23333.333333333332</v>
      </c>
      <c r="X108" s="39">
        <f t="shared" si="62"/>
        <v>23333.333333333332</v>
      </c>
      <c r="Y108" s="39">
        <f t="shared" si="62"/>
        <v>23333.333333333332</v>
      </c>
      <c r="Z108" s="39">
        <f t="shared" si="62"/>
        <v>23333.333333333332</v>
      </c>
      <c r="AA108" s="39">
        <f>SUM(E108:Z108)</f>
        <v>419999.99999999994</v>
      </c>
    </row>
    <row r="109" spans="2:27" ht="15">
      <c r="B109" s="32"/>
      <c r="C109" s="32"/>
      <c r="D109" s="39" t="s">
        <v>86</v>
      </c>
      <c r="E109" s="39">
        <v>0</v>
      </c>
      <c r="F109" s="39">
        <f>F107+F108</f>
        <v>0</v>
      </c>
      <c r="G109" s="39">
        <f aca="true" t="shared" si="63" ref="G109:Z109">G107+G108</f>
        <v>787.5</v>
      </c>
      <c r="H109" s="39">
        <f t="shared" si="63"/>
        <v>3150</v>
      </c>
      <c r="I109" s="39">
        <f t="shared" si="63"/>
        <v>28583.333333333332</v>
      </c>
      <c r="J109" s="39">
        <f t="shared" si="63"/>
        <v>29283.333333333332</v>
      </c>
      <c r="K109" s="39">
        <f t="shared" si="63"/>
        <v>29866.666666666668</v>
      </c>
      <c r="L109" s="39">
        <f t="shared" si="63"/>
        <v>30333.333333333332</v>
      </c>
      <c r="M109" s="39">
        <f t="shared" si="63"/>
        <v>30683.333333333336</v>
      </c>
      <c r="N109" s="39">
        <f t="shared" si="63"/>
        <v>30916.666666666668</v>
      </c>
      <c r="O109" s="39">
        <f t="shared" si="63"/>
        <v>31033.333333333336</v>
      </c>
      <c r="P109" s="39">
        <f t="shared" si="63"/>
        <v>31033.333333333336</v>
      </c>
      <c r="Q109" s="39">
        <f t="shared" si="63"/>
        <v>30916.666666666668</v>
      </c>
      <c r="R109" s="39">
        <f t="shared" si="63"/>
        <v>30683.333333333336</v>
      </c>
      <c r="S109" s="39">
        <f t="shared" si="63"/>
        <v>30333.333333333336</v>
      </c>
      <c r="T109" s="39">
        <f t="shared" si="63"/>
        <v>29866.666666666668</v>
      </c>
      <c r="U109" s="39">
        <f t="shared" si="63"/>
        <v>29283.333333333336</v>
      </c>
      <c r="V109" s="39">
        <f t="shared" si="63"/>
        <v>28583.333333333336</v>
      </c>
      <c r="W109" s="39">
        <f t="shared" si="63"/>
        <v>27766.66666666667</v>
      </c>
      <c r="X109" s="39">
        <f t="shared" si="63"/>
        <v>26833.333333333336</v>
      </c>
      <c r="Y109" s="39">
        <f t="shared" si="63"/>
        <v>25783.333333333336</v>
      </c>
      <c r="Z109" s="39">
        <f t="shared" si="63"/>
        <v>24616.66666666667</v>
      </c>
      <c r="AA109" s="40">
        <f>SUM(E109:Z109)</f>
        <v>530337.4999999999</v>
      </c>
    </row>
    <row r="110" spans="2:27" ht="15">
      <c r="B110" s="32" t="s">
        <v>87</v>
      </c>
      <c r="C110" s="39">
        <f>C105+150000</f>
        <v>570000</v>
      </c>
      <c r="D110" s="39" t="s">
        <v>88</v>
      </c>
      <c r="E110" s="39"/>
      <c r="F110" s="39"/>
      <c r="G110" s="39"/>
      <c r="H110" s="39">
        <f>$C$110*0.65*0.03</f>
        <v>11115</v>
      </c>
      <c r="I110" s="39">
        <f aca="true" t="shared" si="64" ref="I110:Z110">$C$110*0.65*0.03</f>
        <v>11115</v>
      </c>
      <c r="J110" s="39">
        <f t="shared" si="64"/>
        <v>11115</v>
      </c>
      <c r="K110" s="39">
        <f t="shared" si="64"/>
        <v>11115</v>
      </c>
      <c r="L110" s="39">
        <f t="shared" si="64"/>
        <v>11115</v>
      </c>
      <c r="M110" s="39">
        <f t="shared" si="64"/>
        <v>11115</v>
      </c>
      <c r="N110" s="39">
        <f t="shared" si="64"/>
        <v>11115</v>
      </c>
      <c r="O110" s="39">
        <f t="shared" si="64"/>
        <v>11115</v>
      </c>
      <c r="P110" s="39">
        <f t="shared" si="64"/>
        <v>11115</v>
      </c>
      <c r="Q110" s="39">
        <f t="shared" si="64"/>
        <v>11115</v>
      </c>
      <c r="R110" s="39">
        <f t="shared" si="64"/>
        <v>11115</v>
      </c>
      <c r="S110" s="39">
        <f t="shared" si="64"/>
        <v>11115</v>
      </c>
      <c r="T110" s="39">
        <f t="shared" si="64"/>
        <v>11115</v>
      </c>
      <c r="U110" s="39">
        <f t="shared" si="64"/>
        <v>11115</v>
      </c>
      <c r="V110" s="39">
        <f t="shared" si="64"/>
        <v>11115</v>
      </c>
      <c r="W110" s="39">
        <f t="shared" si="64"/>
        <v>11115</v>
      </c>
      <c r="X110" s="39">
        <f t="shared" si="64"/>
        <v>11115</v>
      </c>
      <c r="Y110" s="39">
        <f t="shared" si="64"/>
        <v>11115</v>
      </c>
      <c r="Z110" s="39">
        <f t="shared" si="64"/>
        <v>11115</v>
      </c>
      <c r="AA110" s="40">
        <f>SUM(E110:Z110)</f>
        <v>211185</v>
      </c>
    </row>
    <row r="111" spans="2:27" ht="15">
      <c r="B111" s="32"/>
      <c r="C111" s="32"/>
      <c r="D111" s="40" t="s">
        <v>80</v>
      </c>
      <c r="E111" s="40">
        <f>SUM(E109:E110)</f>
        <v>0</v>
      </c>
      <c r="F111" s="40">
        <f aca="true" t="shared" si="65" ref="F111:Z111">SUM(F109:F110)</f>
        <v>0</v>
      </c>
      <c r="G111" s="40">
        <f t="shared" si="65"/>
        <v>787.5</v>
      </c>
      <c r="H111" s="40">
        <f t="shared" si="65"/>
        <v>14265</v>
      </c>
      <c r="I111" s="40">
        <f t="shared" si="65"/>
        <v>39698.33333333333</v>
      </c>
      <c r="J111" s="40">
        <f t="shared" si="65"/>
        <v>40398.33333333333</v>
      </c>
      <c r="K111" s="40">
        <f t="shared" si="65"/>
        <v>40981.66666666667</v>
      </c>
      <c r="L111" s="40">
        <f t="shared" si="65"/>
        <v>41448.33333333333</v>
      </c>
      <c r="M111" s="40">
        <f t="shared" si="65"/>
        <v>41798.333333333336</v>
      </c>
      <c r="N111" s="40">
        <f t="shared" si="65"/>
        <v>42031.66666666667</v>
      </c>
      <c r="O111" s="40">
        <f t="shared" si="65"/>
        <v>42148.333333333336</v>
      </c>
      <c r="P111" s="40">
        <f t="shared" si="65"/>
        <v>42148.333333333336</v>
      </c>
      <c r="Q111" s="40">
        <f t="shared" si="65"/>
        <v>42031.66666666667</v>
      </c>
      <c r="R111" s="40">
        <f t="shared" si="65"/>
        <v>41798.333333333336</v>
      </c>
      <c r="S111" s="40">
        <f t="shared" si="65"/>
        <v>41448.333333333336</v>
      </c>
      <c r="T111" s="40">
        <f t="shared" si="65"/>
        <v>40981.66666666667</v>
      </c>
      <c r="U111" s="40">
        <f t="shared" si="65"/>
        <v>40398.333333333336</v>
      </c>
      <c r="V111" s="40">
        <f t="shared" si="65"/>
        <v>39698.333333333336</v>
      </c>
      <c r="W111" s="40">
        <f t="shared" si="65"/>
        <v>38881.66666666667</v>
      </c>
      <c r="X111" s="40">
        <f t="shared" si="65"/>
        <v>37948.333333333336</v>
      </c>
      <c r="Y111" s="40">
        <f t="shared" si="65"/>
        <v>36898.333333333336</v>
      </c>
      <c r="Z111" s="40">
        <f t="shared" si="65"/>
        <v>35731.66666666667</v>
      </c>
      <c r="AA111" s="40">
        <f>SUM(AA109:AA109)</f>
        <v>530337.4999999999</v>
      </c>
    </row>
    <row r="113" spans="1:27" ht="15">
      <c r="A113" t="s">
        <v>34</v>
      </c>
      <c r="B113" s="38" t="s">
        <v>14</v>
      </c>
      <c r="C113" s="39">
        <v>3020000</v>
      </c>
      <c r="D113" s="39" t="s">
        <v>57</v>
      </c>
      <c r="E113" s="39">
        <v>0</v>
      </c>
      <c r="F113" s="39">
        <f>0.25*C113</f>
        <v>755000</v>
      </c>
      <c r="G113" s="39">
        <f>0.5*C113</f>
        <v>1510000</v>
      </c>
      <c r="H113" s="39">
        <f>0.25*C113</f>
        <v>755000</v>
      </c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</row>
    <row r="114" spans="2:27" ht="15">
      <c r="B114" s="32"/>
      <c r="C114" s="32"/>
      <c r="D114" s="39" t="s">
        <v>83</v>
      </c>
      <c r="E114" s="39">
        <v>0</v>
      </c>
      <c r="F114" s="39">
        <f>F113</f>
        <v>755000</v>
      </c>
      <c r="G114" s="39">
        <f>F113+G113</f>
        <v>2265000</v>
      </c>
      <c r="H114" s="39">
        <f>F113+G113+H113</f>
        <v>3020000</v>
      </c>
      <c r="I114" s="39">
        <f>H114-$H114/18</f>
        <v>2852222.222222222</v>
      </c>
      <c r="J114" s="39">
        <f aca="true" t="shared" si="66" ref="J114:Z114">I114-$H114/18</f>
        <v>2684444.444444444</v>
      </c>
      <c r="K114" s="39">
        <f t="shared" si="66"/>
        <v>2516666.666666666</v>
      </c>
      <c r="L114" s="39">
        <f t="shared" si="66"/>
        <v>2348888.888888888</v>
      </c>
      <c r="M114" s="39">
        <f t="shared" si="66"/>
        <v>2181111.11111111</v>
      </c>
      <c r="N114" s="39">
        <f t="shared" si="66"/>
        <v>2013333.3333333323</v>
      </c>
      <c r="O114" s="39">
        <f t="shared" si="66"/>
        <v>1845555.5555555546</v>
      </c>
      <c r="P114" s="39">
        <f t="shared" si="66"/>
        <v>1677777.7777777768</v>
      </c>
      <c r="Q114" s="39">
        <f t="shared" si="66"/>
        <v>1509999.999999999</v>
      </c>
      <c r="R114" s="39">
        <f t="shared" si="66"/>
        <v>1342222.2222222213</v>
      </c>
      <c r="S114" s="39">
        <f t="shared" si="66"/>
        <v>1174444.4444444436</v>
      </c>
      <c r="T114" s="39">
        <f t="shared" si="66"/>
        <v>1006666.6666666658</v>
      </c>
      <c r="U114" s="39">
        <f t="shared" si="66"/>
        <v>838888.8888888881</v>
      </c>
      <c r="V114" s="39">
        <f t="shared" si="66"/>
        <v>671111.1111111103</v>
      </c>
      <c r="W114" s="39">
        <f t="shared" si="66"/>
        <v>503333.33333333256</v>
      </c>
      <c r="X114" s="39">
        <f t="shared" si="66"/>
        <v>335555.5555555548</v>
      </c>
      <c r="Y114" s="39">
        <f t="shared" si="66"/>
        <v>167777.77777777702</v>
      </c>
      <c r="Z114" s="39">
        <f t="shared" si="66"/>
        <v>-7.566995918750763E-10</v>
      </c>
      <c r="AA114" s="39"/>
    </row>
    <row r="115" spans="2:27" ht="15">
      <c r="B115" s="32"/>
      <c r="C115" s="32"/>
      <c r="D115" s="39" t="s">
        <v>84</v>
      </c>
      <c r="E115" s="39">
        <v>0</v>
      </c>
      <c r="F115" s="39">
        <f>$E$6*E114</f>
        <v>0</v>
      </c>
      <c r="G115" s="39">
        <f>F114*$F$6</f>
        <v>5662.5</v>
      </c>
      <c r="H115" s="39">
        <f>G114*$G$6</f>
        <v>22650</v>
      </c>
      <c r="I115" s="39">
        <f>H114*$H$6</f>
        <v>37750</v>
      </c>
      <c r="J115" s="39">
        <f>I114*$I$6</f>
        <v>42783.333333333336</v>
      </c>
      <c r="K115" s="39">
        <f>J114*$J$6</f>
        <v>46977.777777777774</v>
      </c>
      <c r="L115" s="39">
        <f>K114*$K$6</f>
        <v>50333.33333333332</v>
      </c>
      <c r="M115" s="39">
        <f>L114*$L$6</f>
        <v>52849.99999999998</v>
      </c>
      <c r="N115" s="39">
        <f>M114*$M$6</f>
        <v>54527.777777777745</v>
      </c>
      <c r="O115" s="39">
        <f>N114*$N$6</f>
        <v>55366.666666666635</v>
      </c>
      <c r="P115" s="39">
        <f>O114*$O$6</f>
        <v>55366.66666666663</v>
      </c>
      <c r="Q115" s="39">
        <f>P114*$P$6</f>
        <v>54527.77777777774</v>
      </c>
      <c r="R115" s="39">
        <f>Q114*$Q$6</f>
        <v>52849.99999999996</v>
      </c>
      <c r="S115" s="39">
        <f>R114*$R$6</f>
        <v>50333.3333333333</v>
      </c>
      <c r="T115" s="39">
        <f>S114*$S$6</f>
        <v>46977.777777777745</v>
      </c>
      <c r="U115" s="39">
        <f>T114*$T$6</f>
        <v>42783.3333333333</v>
      </c>
      <c r="V115" s="39">
        <f>U114*$U$6</f>
        <v>37749.99999999996</v>
      </c>
      <c r="W115" s="39">
        <f>V114*$V$6</f>
        <v>31877.777777777745</v>
      </c>
      <c r="X115" s="39">
        <f>W114*$W$6</f>
        <v>25166.66666666663</v>
      </c>
      <c r="Y115" s="39">
        <f>X114*$X$6</f>
        <v>17616.66666666663</v>
      </c>
      <c r="Z115" s="39">
        <f>Y114*$Y$6</f>
        <v>9227.77777777774</v>
      </c>
      <c r="AA115" s="39">
        <f>SUM(E115:Z115)</f>
        <v>793379.1666666662</v>
      </c>
    </row>
    <row r="116" spans="2:27" ht="15">
      <c r="B116" s="32"/>
      <c r="C116" s="32"/>
      <c r="D116" s="39" t="s">
        <v>85</v>
      </c>
      <c r="E116" s="39">
        <v>0</v>
      </c>
      <c r="F116" s="39">
        <v>0</v>
      </c>
      <c r="G116" s="39">
        <v>0</v>
      </c>
      <c r="H116" s="39"/>
      <c r="I116" s="39">
        <f>$H114/18</f>
        <v>167777.77777777778</v>
      </c>
      <c r="J116" s="39">
        <f aca="true" t="shared" si="67" ref="J116:Z116">$H114/18</f>
        <v>167777.77777777778</v>
      </c>
      <c r="K116" s="39">
        <f t="shared" si="67"/>
        <v>167777.77777777778</v>
      </c>
      <c r="L116" s="39">
        <f t="shared" si="67"/>
        <v>167777.77777777778</v>
      </c>
      <c r="M116" s="39">
        <f t="shared" si="67"/>
        <v>167777.77777777778</v>
      </c>
      <c r="N116" s="39">
        <f t="shared" si="67"/>
        <v>167777.77777777778</v>
      </c>
      <c r="O116" s="39">
        <f t="shared" si="67"/>
        <v>167777.77777777778</v>
      </c>
      <c r="P116" s="39">
        <f t="shared" si="67"/>
        <v>167777.77777777778</v>
      </c>
      <c r="Q116" s="39">
        <f t="shared" si="67"/>
        <v>167777.77777777778</v>
      </c>
      <c r="R116" s="39">
        <f t="shared" si="67"/>
        <v>167777.77777777778</v>
      </c>
      <c r="S116" s="39">
        <f t="shared" si="67"/>
        <v>167777.77777777778</v>
      </c>
      <c r="T116" s="39">
        <f t="shared" si="67"/>
        <v>167777.77777777778</v>
      </c>
      <c r="U116" s="39">
        <f t="shared" si="67"/>
        <v>167777.77777777778</v>
      </c>
      <c r="V116" s="39">
        <f t="shared" si="67"/>
        <v>167777.77777777778</v>
      </c>
      <c r="W116" s="39">
        <f t="shared" si="67"/>
        <v>167777.77777777778</v>
      </c>
      <c r="X116" s="39">
        <f t="shared" si="67"/>
        <v>167777.77777777778</v>
      </c>
      <c r="Y116" s="39">
        <f t="shared" si="67"/>
        <v>167777.77777777778</v>
      </c>
      <c r="Z116" s="39">
        <f t="shared" si="67"/>
        <v>167777.77777777778</v>
      </c>
      <c r="AA116" s="39">
        <f>SUM(E116:Z116)</f>
        <v>3020000.000000001</v>
      </c>
    </row>
    <row r="117" spans="2:27" ht="15">
      <c r="B117" s="32"/>
      <c r="C117" s="32"/>
      <c r="D117" s="39" t="s">
        <v>86</v>
      </c>
      <c r="E117" s="39">
        <v>0</v>
      </c>
      <c r="F117" s="39">
        <f>F115+F116</f>
        <v>0</v>
      </c>
      <c r="G117" s="39">
        <f aca="true" t="shared" si="68" ref="G117:Z117">G115+G116</f>
        <v>5662.5</v>
      </c>
      <c r="H117" s="39">
        <f t="shared" si="68"/>
        <v>22650</v>
      </c>
      <c r="I117" s="39">
        <f t="shared" si="68"/>
        <v>205527.77777777778</v>
      </c>
      <c r="J117" s="39">
        <f t="shared" si="68"/>
        <v>210561.11111111112</v>
      </c>
      <c r="K117" s="39">
        <f t="shared" si="68"/>
        <v>214755.55555555556</v>
      </c>
      <c r="L117" s="39">
        <f t="shared" si="68"/>
        <v>218111.1111111111</v>
      </c>
      <c r="M117" s="39">
        <f t="shared" si="68"/>
        <v>220627.77777777775</v>
      </c>
      <c r="N117" s="39">
        <f t="shared" si="68"/>
        <v>222305.55555555553</v>
      </c>
      <c r="O117" s="39">
        <f t="shared" si="68"/>
        <v>223144.4444444444</v>
      </c>
      <c r="P117" s="39">
        <f t="shared" si="68"/>
        <v>223144.4444444444</v>
      </c>
      <c r="Q117" s="39">
        <f t="shared" si="68"/>
        <v>222305.5555555555</v>
      </c>
      <c r="R117" s="39">
        <f t="shared" si="68"/>
        <v>220627.77777777775</v>
      </c>
      <c r="S117" s="39">
        <f t="shared" si="68"/>
        <v>218111.11111111107</v>
      </c>
      <c r="T117" s="39">
        <f t="shared" si="68"/>
        <v>214755.55555555553</v>
      </c>
      <c r="U117" s="39">
        <f t="shared" si="68"/>
        <v>210561.11111111107</v>
      </c>
      <c r="V117" s="39">
        <f t="shared" si="68"/>
        <v>205527.77777777775</v>
      </c>
      <c r="W117" s="39">
        <f t="shared" si="68"/>
        <v>199655.55555555553</v>
      </c>
      <c r="X117" s="39">
        <f t="shared" si="68"/>
        <v>192944.4444444444</v>
      </c>
      <c r="Y117" s="39">
        <f t="shared" si="68"/>
        <v>185394.4444444444</v>
      </c>
      <c r="Z117" s="39">
        <f t="shared" si="68"/>
        <v>177005.55555555553</v>
      </c>
      <c r="AA117" s="40">
        <f>SUM(E117:Z117)</f>
        <v>3813379.166666666</v>
      </c>
    </row>
    <row r="118" spans="2:27" ht="15">
      <c r="B118" s="32" t="s">
        <v>87</v>
      </c>
      <c r="C118" s="39">
        <f>C113+920000</f>
        <v>3940000</v>
      </c>
      <c r="D118" s="39" t="s">
        <v>88</v>
      </c>
      <c r="E118" s="39"/>
      <c r="F118" s="39"/>
      <c r="G118" s="39"/>
      <c r="H118" s="39">
        <f>$C118*0.65*0.03</f>
        <v>76830</v>
      </c>
      <c r="I118" s="39">
        <f aca="true" t="shared" si="69" ref="I118:Z118">$C118*0.65*0.03</f>
        <v>76830</v>
      </c>
      <c r="J118" s="39">
        <f t="shared" si="69"/>
        <v>76830</v>
      </c>
      <c r="K118" s="39">
        <f t="shared" si="69"/>
        <v>76830</v>
      </c>
      <c r="L118" s="39">
        <f t="shared" si="69"/>
        <v>76830</v>
      </c>
      <c r="M118" s="39">
        <f t="shared" si="69"/>
        <v>76830</v>
      </c>
      <c r="N118" s="39">
        <f t="shared" si="69"/>
        <v>76830</v>
      </c>
      <c r="O118" s="39">
        <f t="shared" si="69"/>
        <v>76830</v>
      </c>
      <c r="P118" s="39">
        <f t="shared" si="69"/>
        <v>76830</v>
      </c>
      <c r="Q118" s="39">
        <f t="shared" si="69"/>
        <v>76830</v>
      </c>
      <c r="R118" s="39">
        <f t="shared" si="69"/>
        <v>76830</v>
      </c>
      <c r="S118" s="39">
        <f t="shared" si="69"/>
        <v>76830</v>
      </c>
      <c r="T118" s="39">
        <f t="shared" si="69"/>
        <v>76830</v>
      </c>
      <c r="U118" s="39">
        <f t="shared" si="69"/>
        <v>76830</v>
      </c>
      <c r="V118" s="39">
        <f t="shared" si="69"/>
        <v>76830</v>
      </c>
      <c r="W118" s="39">
        <f t="shared" si="69"/>
        <v>76830</v>
      </c>
      <c r="X118" s="39">
        <f t="shared" si="69"/>
        <v>76830</v>
      </c>
      <c r="Y118" s="39">
        <f t="shared" si="69"/>
        <v>76830</v>
      </c>
      <c r="Z118" s="39">
        <f t="shared" si="69"/>
        <v>76830</v>
      </c>
      <c r="AA118" s="40">
        <f>SUM(E118:Z118)</f>
        <v>1459770</v>
      </c>
    </row>
    <row r="119" spans="2:27" ht="15">
      <c r="B119" s="32"/>
      <c r="C119" s="32"/>
      <c r="D119" s="40" t="s">
        <v>80</v>
      </c>
      <c r="E119" s="40">
        <f>SUM(E117:E118)</f>
        <v>0</v>
      </c>
      <c r="F119" s="40">
        <f aca="true" t="shared" si="70" ref="F119:Z119">SUM(F117:F118)</f>
        <v>0</v>
      </c>
      <c r="G119" s="40">
        <f t="shared" si="70"/>
        <v>5662.5</v>
      </c>
      <c r="H119" s="40">
        <f t="shared" si="70"/>
        <v>99480</v>
      </c>
      <c r="I119" s="40">
        <f t="shared" si="70"/>
        <v>282357.77777777775</v>
      </c>
      <c r="J119" s="40">
        <f t="shared" si="70"/>
        <v>287391.1111111111</v>
      </c>
      <c r="K119" s="40">
        <f t="shared" si="70"/>
        <v>291585.55555555556</v>
      </c>
      <c r="L119" s="40">
        <f t="shared" si="70"/>
        <v>294941.1111111111</v>
      </c>
      <c r="M119" s="40">
        <f t="shared" si="70"/>
        <v>297457.77777777775</v>
      </c>
      <c r="N119" s="40">
        <f t="shared" si="70"/>
        <v>299135.5555555555</v>
      </c>
      <c r="O119" s="40">
        <f t="shared" si="70"/>
        <v>299974.4444444444</v>
      </c>
      <c r="P119" s="40">
        <f t="shared" si="70"/>
        <v>299974.4444444444</v>
      </c>
      <c r="Q119" s="40">
        <f t="shared" si="70"/>
        <v>299135.5555555555</v>
      </c>
      <c r="R119" s="40">
        <f t="shared" si="70"/>
        <v>297457.77777777775</v>
      </c>
      <c r="S119" s="40">
        <f t="shared" si="70"/>
        <v>294941.11111111107</v>
      </c>
      <c r="T119" s="40">
        <f t="shared" si="70"/>
        <v>291585.5555555555</v>
      </c>
      <c r="U119" s="40">
        <f t="shared" si="70"/>
        <v>287391.11111111107</v>
      </c>
      <c r="V119" s="40">
        <f t="shared" si="70"/>
        <v>282357.77777777775</v>
      </c>
      <c r="W119" s="40">
        <f t="shared" si="70"/>
        <v>276485.5555555555</v>
      </c>
      <c r="X119" s="40">
        <f t="shared" si="70"/>
        <v>269774.4444444444</v>
      </c>
      <c r="Y119" s="40">
        <f t="shared" si="70"/>
        <v>262224.4444444444</v>
      </c>
      <c r="Z119" s="40">
        <f t="shared" si="70"/>
        <v>253835.55555555553</v>
      </c>
      <c r="AA119" s="40">
        <f>SUM(AA117:AA117)</f>
        <v>3813379.166666666</v>
      </c>
    </row>
    <row r="121" spans="1:27" ht="15">
      <c r="A121" t="s">
        <v>32</v>
      </c>
      <c r="B121" s="38" t="s">
        <v>15</v>
      </c>
      <c r="C121" s="39">
        <v>1390000</v>
      </c>
      <c r="D121" s="39" t="s">
        <v>57</v>
      </c>
      <c r="E121" s="39">
        <v>0</v>
      </c>
      <c r="F121" s="39">
        <f>0.25*C121</f>
        <v>347500</v>
      </c>
      <c r="G121" s="39">
        <f>0.5*C121</f>
        <v>695000</v>
      </c>
      <c r="H121" s="39">
        <f>0.25*C121</f>
        <v>347500</v>
      </c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</row>
    <row r="122" spans="2:27" ht="15">
      <c r="B122" s="32"/>
      <c r="C122" s="32"/>
      <c r="D122" s="39" t="s">
        <v>83</v>
      </c>
      <c r="E122" s="39">
        <v>0</v>
      </c>
      <c r="F122" s="39">
        <f>F121</f>
        <v>347500</v>
      </c>
      <c r="G122" s="39">
        <f>F121+G121</f>
        <v>1042500</v>
      </c>
      <c r="H122" s="39">
        <f>F121+G121+H121</f>
        <v>1390000</v>
      </c>
      <c r="I122" s="39">
        <f>H122-$H122/18</f>
        <v>1312777.7777777778</v>
      </c>
      <c r="J122" s="39">
        <f aca="true" t="shared" si="71" ref="J122:Z122">I122-$H122/18</f>
        <v>1235555.5555555555</v>
      </c>
      <c r="K122" s="39">
        <f t="shared" si="71"/>
        <v>1158333.3333333333</v>
      </c>
      <c r="L122" s="39">
        <f t="shared" si="71"/>
        <v>1081111.111111111</v>
      </c>
      <c r="M122" s="39">
        <f t="shared" si="71"/>
        <v>1003888.8888888888</v>
      </c>
      <c r="N122" s="39">
        <f t="shared" si="71"/>
        <v>926666.6666666665</v>
      </c>
      <c r="O122" s="39">
        <f t="shared" si="71"/>
        <v>849444.4444444443</v>
      </c>
      <c r="P122" s="39">
        <f t="shared" si="71"/>
        <v>772222.222222222</v>
      </c>
      <c r="Q122" s="39">
        <f t="shared" si="71"/>
        <v>694999.9999999998</v>
      </c>
      <c r="R122" s="39">
        <f t="shared" si="71"/>
        <v>617777.7777777775</v>
      </c>
      <c r="S122" s="39">
        <f t="shared" si="71"/>
        <v>540555.5555555553</v>
      </c>
      <c r="T122" s="39">
        <f t="shared" si="71"/>
        <v>463333.333333333</v>
      </c>
      <c r="U122" s="39">
        <f t="shared" si="71"/>
        <v>386111.1111111108</v>
      </c>
      <c r="V122" s="39">
        <f t="shared" si="71"/>
        <v>308888.8888888885</v>
      </c>
      <c r="W122" s="39">
        <f t="shared" si="71"/>
        <v>231666.6666666663</v>
      </c>
      <c r="X122" s="39">
        <f t="shared" si="71"/>
        <v>154444.4444444441</v>
      </c>
      <c r="Y122" s="39">
        <f t="shared" si="71"/>
        <v>77222.22222222187</v>
      </c>
      <c r="Z122" s="39">
        <f t="shared" si="71"/>
        <v>-3.4924596548080444E-10</v>
      </c>
      <c r="AA122" s="39"/>
    </row>
    <row r="123" spans="2:27" ht="15">
      <c r="B123" s="32"/>
      <c r="C123" s="32"/>
      <c r="D123" s="39" t="s">
        <v>84</v>
      </c>
      <c r="E123" s="39">
        <v>0</v>
      </c>
      <c r="F123" s="39">
        <f>$E$6*E122</f>
        <v>0</v>
      </c>
      <c r="G123" s="39">
        <f>F122*$F$6</f>
        <v>2606.25</v>
      </c>
      <c r="H123" s="39">
        <f>G122*$G$6</f>
        <v>10425</v>
      </c>
      <c r="I123" s="39">
        <f>H122*$H$6</f>
        <v>17375</v>
      </c>
      <c r="J123" s="39">
        <f>I122*$I$6</f>
        <v>19691.666666666668</v>
      </c>
      <c r="K123" s="39">
        <f>J122*$J$6</f>
        <v>21622.222222222223</v>
      </c>
      <c r="L123" s="39">
        <f>K122*$K$6</f>
        <v>23166.666666666664</v>
      </c>
      <c r="M123" s="39">
        <f>L122*$L$6</f>
        <v>24324.999999999996</v>
      </c>
      <c r="N123" s="39">
        <f>M122*$M$6</f>
        <v>25097.222222222215</v>
      </c>
      <c r="O123" s="39">
        <f>N122*$N$6</f>
        <v>25483.333333333325</v>
      </c>
      <c r="P123" s="39">
        <f>O122*$O$6</f>
        <v>25483.333333333325</v>
      </c>
      <c r="Q123" s="39">
        <f>P122*$P$6</f>
        <v>25097.22222222221</v>
      </c>
      <c r="R123" s="39">
        <f>Q122*$Q$6</f>
        <v>24324.99999999999</v>
      </c>
      <c r="S123" s="39">
        <f>R122*$R$6</f>
        <v>23166.666666666657</v>
      </c>
      <c r="T123" s="39">
        <f>S122*$S$6</f>
        <v>21622.22222222221</v>
      </c>
      <c r="U123" s="39">
        <f>T122*$T$6</f>
        <v>19691.666666666653</v>
      </c>
      <c r="V123" s="39">
        <f>U122*$U$6</f>
        <v>17374.999999999985</v>
      </c>
      <c r="W123" s="39">
        <f>V122*$V$6</f>
        <v>14672.222222222208</v>
      </c>
      <c r="X123" s="39">
        <f>W122*$W$6</f>
        <v>11583.333333333318</v>
      </c>
      <c r="Y123" s="39">
        <f>X122*$X$6</f>
        <v>8108.333333333317</v>
      </c>
      <c r="Z123" s="39">
        <f>Y122*$Y$6</f>
        <v>4247.2222222222035</v>
      </c>
      <c r="AA123" s="39">
        <f>SUM(E123:Z123)</f>
        <v>365164.5833333331</v>
      </c>
    </row>
    <row r="124" spans="2:27" ht="15">
      <c r="B124" s="32"/>
      <c r="C124" s="32"/>
      <c r="D124" s="39" t="s">
        <v>85</v>
      </c>
      <c r="E124" s="39">
        <v>0</v>
      </c>
      <c r="F124" s="39">
        <v>0</v>
      </c>
      <c r="G124" s="39">
        <v>0</v>
      </c>
      <c r="H124" s="39"/>
      <c r="I124" s="39">
        <f>$H122/18</f>
        <v>77222.22222222222</v>
      </c>
      <c r="J124" s="39">
        <f aca="true" t="shared" si="72" ref="J124:Z124">$H122/18</f>
        <v>77222.22222222222</v>
      </c>
      <c r="K124" s="39">
        <f t="shared" si="72"/>
        <v>77222.22222222222</v>
      </c>
      <c r="L124" s="39">
        <f t="shared" si="72"/>
        <v>77222.22222222222</v>
      </c>
      <c r="M124" s="39">
        <f t="shared" si="72"/>
        <v>77222.22222222222</v>
      </c>
      <c r="N124" s="39">
        <f t="shared" si="72"/>
        <v>77222.22222222222</v>
      </c>
      <c r="O124" s="39">
        <f t="shared" si="72"/>
        <v>77222.22222222222</v>
      </c>
      <c r="P124" s="39">
        <f t="shared" si="72"/>
        <v>77222.22222222222</v>
      </c>
      <c r="Q124" s="39">
        <f t="shared" si="72"/>
        <v>77222.22222222222</v>
      </c>
      <c r="R124" s="39">
        <f t="shared" si="72"/>
        <v>77222.22222222222</v>
      </c>
      <c r="S124" s="39">
        <f t="shared" si="72"/>
        <v>77222.22222222222</v>
      </c>
      <c r="T124" s="39">
        <f t="shared" si="72"/>
        <v>77222.22222222222</v>
      </c>
      <c r="U124" s="39">
        <f t="shared" si="72"/>
        <v>77222.22222222222</v>
      </c>
      <c r="V124" s="39">
        <f t="shared" si="72"/>
        <v>77222.22222222222</v>
      </c>
      <c r="W124" s="39">
        <f t="shared" si="72"/>
        <v>77222.22222222222</v>
      </c>
      <c r="X124" s="39">
        <f t="shared" si="72"/>
        <v>77222.22222222222</v>
      </c>
      <c r="Y124" s="39">
        <f t="shared" si="72"/>
        <v>77222.22222222222</v>
      </c>
      <c r="Z124" s="39">
        <f t="shared" si="72"/>
        <v>77222.22222222222</v>
      </c>
      <c r="AA124" s="39">
        <f>SUM(E124:Z124)</f>
        <v>1390000.0000000002</v>
      </c>
    </row>
    <row r="125" spans="2:27" ht="15">
      <c r="B125" s="32"/>
      <c r="C125" s="32"/>
      <c r="D125" s="39" t="s">
        <v>86</v>
      </c>
      <c r="E125" s="39">
        <v>0</v>
      </c>
      <c r="F125" s="39">
        <f>F123+F124</f>
        <v>0</v>
      </c>
      <c r="G125" s="39">
        <f aca="true" t="shared" si="73" ref="G125:Z125">G123+G124</f>
        <v>2606.25</v>
      </c>
      <c r="H125" s="39">
        <f t="shared" si="73"/>
        <v>10425</v>
      </c>
      <c r="I125" s="39">
        <f t="shared" si="73"/>
        <v>94597.22222222222</v>
      </c>
      <c r="J125" s="39">
        <f t="shared" si="73"/>
        <v>96913.88888888889</v>
      </c>
      <c r="K125" s="39">
        <f t="shared" si="73"/>
        <v>98844.44444444444</v>
      </c>
      <c r="L125" s="39">
        <f t="shared" si="73"/>
        <v>100388.88888888888</v>
      </c>
      <c r="M125" s="39">
        <f t="shared" si="73"/>
        <v>101547.22222222222</v>
      </c>
      <c r="N125" s="39">
        <f t="shared" si="73"/>
        <v>102319.44444444444</v>
      </c>
      <c r="O125" s="39">
        <f t="shared" si="73"/>
        <v>102705.55555555555</v>
      </c>
      <c r="P125" s="39">
        <f t="shared" si="73"/>
        <v>102705.55555555555</v>
      </c>
      <c r="Q125" s="39">
        <f t="shared" si="73"/>
        <v>102319.44444444444</v>
      </c>
      <c r="R125" s="39">
        <f t="shared" si="73"/>
        <v>101547.2222222222</v>
      </c>
      <c r="S125" s="39">
        <f t="shared" si="73"/>
        <v>100388.88888888888</v>
      </c>
      <c r="T125" s="39">
        <f t="shared" si="73"/>
        <v>98844.44444444444</v>
      </c>
      <c r="U125" s="39">
        <f t="shared" si="73"/>
        <v>96913.88888888888</v>
      </c>
      <c r="V125" s="39">
        <f t="shared" si="73"/>
        <v>94597.2222222222</v>
      </c>
      <c r="W125" s="39">
        <f t="shared" si="73"/>
        <v>91894.44444444442</v>
      </c>
      <c r="X125" s="39">
        <f t="shared" si="73"/>
        <v>88805.55555555553</v>
      </c>
      <c r="Y125" s="39">
        <f t="shared" si="73"/>
        <v>85330.55555555553</v>
      </c>
      <c r="Z125" s="39">
        <f t="shared" si="73"/>
        <v>81469.44444444442</v>
      </c>
      <c r="AA125" s="40">
        <f>SUM(E125:Z125)</f>
        <v>1755164.5833333333</v>
      </c>
    </row>
    <row r="126" spans="2:27" ht="15">
      <c r="B126" s="32" t="s">
        <v>87</v>
      </c>
      <c r="C126" s="39">
        <f>C121+400000</f>
        <v>1790000</v>
      </c>
      <c r="D126" s="39" t="s">
        <v>88</v>
      </c>
      <c r="E126" s="39"/>
      <c r="F126" s="39"/>
      <c r="G126" s="39"/>
      <c r="H126" s="39">
        <f>$C$126*0.65*0.03</f>
        <v>34905</v>
      </c>
      <c r="I126" s="39">
        <f aca="true" t="shared" si="74" ref="I126:Z126">$C$126*0.65*0.03</f>
        <v>34905</v>
      </c>
      <c r="J126" s="39">
        <f t="shared" si="74"/>
        <v>34905</v>
      </c>
      <c r="K126" s="39">
        <f t="shared" si="74"/>
        <v>34905</v>
      </c>
      <c r="L126" s="39">
        <f t="shared" si="74"/>
        <v>34905</v>
      </c>
      <c r="M126" s="39">
        <f t="shared" si="74"/>
        <v>34905</v>
      </c>
      <c r="N126" s="39">
        <f t="shared" si="74"/>
        <v>34905</v>
      </c>
      <c r="O126" s="39">
        <f t="shared" si="74"/>
        <v>34905</v>
      </c>
      <c r="P126" s="39">
        <f t="shared" si="74"/>
        <v>34905</v>
      </c>
      <c r="Q126" s="39">
        <f t="shared" si="74"/>
        <v>34905</v>
      </c>
      <c r="R126" s="39">
        <f t="shared" si="74"/>
        <v>34905</v>
      </c>
      <c r="S126" s="39">
        <f t="shared" si="74"/>
        <v>34905</v>
      </c>
      <c r="T126" s="39">
        <f t="shared" si="74"/>
        <v>34905</v>
      </c>
      <c r="U126" s="39">
        <f t="shared" si="74"/>
        <v>34905</v>
      </c>
      <c r="V126" s="39">
        <f t="shared" si="74"/>
        <v>34905</v>
      </c>
      <c r="W126" s="39">
        <f t="shared" si="74"/>
        <v>34905</v>
      </c>
      <c r="X126" s="39">
        <f t="shared" si="74"/>
        <v>34905</v>
      </c>
      <c r="Y126" s="39">
        <f t="shared" si="74"/>
        <v>34905</v>
      </c>
      <c r="Z126" s="39">
        <f t="shared" si="74"/>
        <v>34905</v>
      </c>
      <c r="AA126" s="40">
        <f>SUM(E126:Z126)</f>
        <v>663195</v>
      </c>
    </row>
    <row r="127" spans="2:27" ht="15">
      <c r="B127" s="32"/>
      <c r="C127" s="32"/>
      <c r="D127" s="40" t="s">
        <v>80</v>
      </c>
      <c r="E127" s="40">
        <f>SUM(E125:E126)</f>
        <v>0</v>
      </c>
      <c r="F127" s="40">
        <f aca="true" t="shared" si="75" ref="F127:Z127">SUM(F125:F126)</f>
        <v>0</v>
      </c>
      <c r="G127" s="40">
        <f t="shared" si="75"/>
        <v>2606.25</v>
      </c>
      <c r="H127" s="40">
        <f t="shared" si="75"/>
        <v>45330</v>
      </c>
      <c r="I127" s="40">
        <f t="shared" si="75"/>
        <v>129502.22222222222</v>
      </c>
      <c r="J127" s="40">
        <f t="shared" si="75"/>
        <v>131818.88888888888</v>
      </c>
      <c r="K127" s="40">
        <f t="shared" si="75"/>
        <v>133749.44444444444</v>
      </c>
      <c r="L127" s="40">
        <f t="shared" si="75"/>
        <v>135293.88888888888</v>
      </c>
      <c r="M127" s="40">
        <f t="shared" si="75"/>
        <v>136452.22222222222</v>
      </c>
      <c r="N127" s="40">
        <f t="shared" si="75"/>
        <v>137224.44444444444</v>
      </c>
      <c r="O127" s="40">
        <f t="shared" si="75"/>
        <v>137610.55555555556</v>
      </c>
      <c r="P127" s="40">
        <f t="shared" si="75"/>
        <v>137610.55555555556</v>
      </c>
      <c r="Q127" s="40">
        <f t="shared" si="75"/>
        <v>137224.44444444444</v>
      </c>
      <c r="R127" s="40">
        <f t="shared" si="75"/>
        <v>136452.2222222222</v>
      </c>
      <c r="S127" s="40">
        <f t="shared" si="75"/>
        <v>135293.88888888888</v>
      </c>
      <c r="T127" s="40">
        <f t="shared" si="75"/>
        <v>133749.44444444444</v>
      </c>
      <c r="U127" s="40">
        <f t="shared" si="75"/>
        <v>131818.88888888888</v>
      </c>
      <c r="V127" s="40">
        <f t="shared" si="75"/>
        <v>129502.2222222222</v>
      </c>
      <c r="W127" s="40">
        <f t="shared" si="75"/>
        <v>126799.44444444442</v>
      </c>
      <c r="X127" s="40">
        <f t="shared" si="75"/>
        <v>123710.55555555553</v>
      </c>
      <c r="Y127" s="40">
        <f t="shared" si="75"/>
        <v>120235.55555555553</v>
      </c>
      <c r="Z127" s="40">
        <f t="shared" si="75"/>
        <v>116374.44444444442</v>
      </c>
      <c r="AA127" s="40">
        <f>SUM(AA125:AA125)</f>
        <v>1755164.5833333333</v>
      </c>
    </row>
    <row r="129" spans="1:27" ht="15">
      <c r="A129" t="s">
        <v>91</v>
      </c>
      <c r="B129" s="38" t="s">
        <v>89</v>
      </c>
      <c r="C129" s="39">
        <v>3100000</v>
      </c>
      <c r="D129" s="39" t="s">
        <v>57</v>
      </c>
      <c r="E129" s="39">
        <v>0</v>
      </c>
      <c r="F129" s="39">
        <f>0.25*C129</f>
        <v>775000</v>
      </c>
      <c r="G129" s="39">
        <f>0.5*C129</f>
        <v>1550000</v>
      </c>
      <c r="H129" s="39">
        <f>0.25*C129</f>
        <v>775000</v>
      </c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</row>
    <row r="130" spans="2:27" ht="15">
      <c r="B130" s="32"/>
      <c r="C130" s="32"/>
      <c r="D130" s="39" t="s">
        <v>83</v>
      </c>
      <c r="E130" s="39">
        <v>0</v>
      </c>
      <c r="F130" s="39">
        <f>F129</f>
        <v>775000</v>
      </c>
      <c r="G130" s="39">
        <f>F129+G129</f>
        <v>2325000</v>
      </c>
      <c r="H130" s="39">
        <f>F129+G129+H129</f>
        <v>3100000</v>
      </c>
      <c r="I130" s="39">
        <f>H130-$H130/18</f>
        <v>2927777.777777778</v>
      </c>
      <c r="J130" s="39">
        <f aca="true" t="shared" si="76" ref="J130:Z130">I130-$H130/18</f>
        <v>2755555.555555556</v>
      </c>
      <c r="K130" s="39">
        <f t="shared" si="76"/>
        <v>2583333.333333334</v>
      </c>
      <c r="L130" s="39">
        <f t="shared" si="76"/>
        <v>2411111.111111112</v>
      </c>
      <c r="M130" s="39">
        <f t="shared" si="76"/>
        <v>2238888.88888889</v>
      </c>
      <c r="N130" s="39">
        <f t="shared" si="76"/>
        <v>2066666.6666666677</v>
      </c>
      <c r="O130" s="39">
        <f t="shared" si="76"/>
        <v>1894444.4444444454</v>
      </c>
      <c r="P130" s="39">
        <f t="shared" si="76"/>
        <v>1722222.2222222232</v>
      </c>
      <c r="Q130" s="39">
        <f t="shared" si="76"/>
        <v>1550000.000000001</v>
      </c>
      <c r="R130" s="39">
        <f t="shared" si="76"/>
        <v>1377777.7777777787</v>
      </c>
      <c r="S130" s="39">
        <f t="shared" si="76"/>
        <v>1205555.5555555564</v>
      </c>
      <c r="T130" s="39">
        <f t="shared" si="76"/>
        <v>1033333.3333333342</v>
      </c>
      <c r="U130" s="39">
        <f t="shared" si="76"/>
        <v>861111.1111111119</v>
      </c>
      <c r="V130" s="39">
        <f t="shared" si="76"/>
        <v>688888.8888888897</v>
      </c>
      <c r="W130" s="39">
        <f t="shared" si="76"/>
        <v>516666.66666666744</v>
      </c>
      <c r="X130" s="39">
        <f t="shared" si="76"/>
        <v>344444.4444444452</v>
      </c>
      <c r="Y130" s="39">
        <f t="shared" si="76"/>
        <v>172222.22222222298</v>
      </c>
      <c r="Z130" s="39">
        <f t="shared" si="76"/>
        <v>7.566995918750763E-10</v>
      </c>
      <c r="AA130" s="39"/>
    </row>
    <row r="131" spans="2:27" ht="15">
      <c r="B131" s="32"/>
      <c r="C131" s="32"/>
      <c r="D131" s="39" t="s">
        <v>84</v>
      </c>
      <c r="E131" s="39">
        <v>0</v>
      </c>
      <c r="F131" s="39">
        <f>$E$6*E130</f>
        <v>0</v>
      </c>
      <c r="G131" s="39">
        <f>F130*$F$6</f>
        <v>5812.5</v>
      </c>
      <c r="H131" s="39">
        <f>G130*$G$6</f>
        <v>23250</v>
      </c>
      <c r="I131" s="39">
        <f>H130*$H$6</f>
        <v>38750</v>
      </c>
      <c r="J131" s="39">
        <f>I130*$I$6</f>
        <v>43916.66666666667</v>
      </c>
      <c r="K131" s="39">
        <f>J130*$J$6</f>
        <v>48222.22222222223</v>
      </c>
      <c r="L131" s="39">
        <f>K130*$K$6</f>
        <v>51666.66666666668</v>
      </c>
      <c r="M131" s="39">
        <f>L130*$L$6</f>
        <v>54250.000000000015</v>
      </c>
      <c r="N131" s="39">
        <f>M130*$M$6</f>
        <v>55972.22222222224</v>
      </c>
      <c r="O131" s="39">
        <f>N130*$N$6</f>
        <v>56833.33333333336</v>
      </c>
      <c r="P131" s="39">
        <f>O130*$O$6</f>
        <v>56833.33333333336</v>
      </c>
      <c r="Q131" s="39">
        <f>P130*$P$6</f>
        <v>55972.22222222224</v>
      </c>
      <c r="R131" s="39">
        <f>Q130*$Q$6</f>
        <v>54250.00000000003</v>
      </c>
      <c r="S131" s="39">
        <f>R130*$R$6</f>
        <v>51666.6666666667</v>
      </c>
      <c r="T131" s="39">
        <f>S130*$S$6</f>
        <v>48222.222222222255</v>
      </c>
      <c r="U131" s="39">
        <f>T130*$T$6</f>
        <v>43916.66666666671</v>
      </c>
      <c r="V131" s="39">
        <f>U130*$U$6</f>
        <v>38750.000000000044</v>
      </c>
      <c r="W131" s="39">
        <f>V130*$V$6</f>
        <v>32722.222222222266</v>
      </c>
      <c r="X131" s="39">
        <f>W130*$W$6</f>
        <v>25833.333333333376</v>
      </c>
      <c r="Y131" s="39">
        <f>X130*$X$6</f>
        <v>18083.333333333376</v>
      </c>
      <c r="Z131" s="39">
        <f>Y130*$Y$6</f>
        <v>9472.222222222266</v>
      </c>
      <c r="AA131" s="39">
        <f>SUM(E131:Z131)</f>
        <v>814395.8333333338</v>
      </c>
    </row>
    <row r="132" spans="2:27" ht="15">
      <c r="B132" s="32"/>
      <c r="C132" s="32"/>
      <c r="D132" s="39" t="s">
        <v>85</v>
      </c>
      <c r="E132" s="39">
        <v>0</v>
      </c>
      <c r="F132" s="39">
        <v>0</v>
      </c>
      <c r="G132" s="39">
        <v>0</v>
      </c>
      <c r="H132" s="39"/>
      <c r="I132" s="39">
        <f>$H130/18</f>
        <v>172222.22222222222</v>
      </c>
      <c r="J132" s="39">
        <f aca="true" t="shared" si="77" ref="J132:Z132">$H130/18</f>
        <v>172222.22222222222</v>
      </c>
      <c r="K132" s="39">
        <f t="shared" si="77"/>
        <v>172222.22222222222</v>
      </c>
      <c r="L132" s="39">
        <f t="shared" si="77"/>
        <v>172222.22222222222</v>
      </c>
      <c r="M132" s="39">
        <f t="shared" si="77"/>
        <v>172222.22222222222</v>
      </c>
      <c r="N132" s="39">
        <f t="shared" si="77"/>
        <v>172222.22222222222</v>
      </c>
      <c r="O132" s="39">
        <f t="shared" si="77"/>
        <v>172222.22222222222</v>
      </c>
      <c r="P132" s="39">
        <f t="shared" si="77"/>
        <v>172222.22222222222</v>
      </c>
      <c r="Q132" s="39">
        <f t="shared" si="77"/>
        <v>172222.22222222222</v>
      </c>
      <c r="R132" s="39">
        <f t="shared" si="77"/>
        <v>172222.22222222222</v>
      </c>
      <c r="S132" s="39">
        <f t="shared" si="77"/>
        <v>172222.22222222222</v>
      </c>
      <c r="T132" s="39">
        <f t="shared" si="77"/>
        <v>172222.22222222222</v>
      </c>
      <c r="U132" s="39">
        <f t="shared" si="77"/>
        <v>172222.22222222222</v>
      </c>
      <c r="V132" s="39">
        <f t="shared" si="77"/>
        <v>172222.22222222222</v>
      </c>
      <c r="W132" s="39">
        <f t="shared" si="77"/>
        <v>172222.22222222222</v>
      </c>
      <c r="X132" s="39">
        <f t="shared" si="77"/>
        <v>172222.22222222222</v>
      </c>
      <c r="Y132" s="39">
        <f t="shared" si="77"/>
        <v>172222.22222222222</v>
      </c>
      <c r="Z132" s="39">
        <f t="shared" si="77"/>
        <v>172222.22222222222</v>
      </c>
      <c r="AA132" s="39">
        <f>SUM(E132:Z132)</f>
        <v>3099999.999999999</v>
      </c>
    </row>
    <row r="133" spans="2:27" ht="15">
      <c r="B133" s="32"/>
      <c r="C133" s="32"/>
      <c r="D133" s="39" t="s">
        <v>86</v>
      </c>
      <c r="E133" s="39">
        <v>0</v>
      </c>
      <c r="F133" s="39">
        <f>F131+F132</f>
        <v>0</v>
      </c>
      <c r="G133" s="39">
        <f aca="true" t="shared" si="78" ref="G133:Z133">G131+G132</f>
        <v>5812.5</v>
      </c>
      <c r="H133" s="39">
        <f t="shared" si="78"/>
        <v>23250</v>
      </c>
      <c r="I133" s="39">
        <f t="shared" si="78"/>
        <v>210972.22222222222</v>
      </c>
      <c r="J133" s="39">
        <f t="shared" si="78"/>
        <v>216138.88888888888</v>
      </c>
      <c r="K133" s="39">
        <f t="shared" si="78"/>
        <v>220444.44444444444</v>
      </c>
      <c r="L133" s="39">
        <f t="shared" si="78"/>
        <v>223888.8888888889</v>
      </c>
      <c r="M133" s="39">
        <f t="shared" si="78"/>
        <v>226472.22222222225</v>
      </c>
      <c r="N133" s="39">
        <f t="shared" si="78"/>
        <v>228194.44444444447</v>
      </c>
      <c r="O133" s="39">
        <f t="shared" si="78"/>
        <v>229055.55555555556</v>
      </c>
      <c r="P133" s="39">
        <f t="shared" si="78"/>
        <v>229055.55555555556</v>
      </c>
      <c r="Q133" s="39">
        <f t="shared" si="78"/>
        <v>228194.44444444447</v>
      </c>
      <c r="R133" s="39">
        <f t="shared" si="78"/>
        <v>226472.22222222225</v>
      </c>
      <c r="S133" s="39">
        <f t="shared" si="78"/>
        <v>223888.88888888893</v>
      </c>
      <c r="T133" s="39">
        <f t="shared" si="78"/>
        <v>220444.44444444447</v>
      </c>
      <c r="U133" s="39">
        <f t="shared" si="78"/>
        <v>216138.88888888893</v>
      </c>
      <c r="V133" s="39">
        <f t="shared" si="78"/>
        <v>210972.22222222225</v>
      </c>
      <c r="W133" s="39">
        <f t="shared" si="78"/>
        <v>204944.4444444445</v>
      </c>
      <c r="X133" s="39">
        <f t="shared" si="78"/>
        <v>198055.5555555556</v>
      </c>
      <c r="Y133" s="39">
        <f t="shared" si="78"/>
        <v>190305.5555555556</v>
      </c>
      <c r="Z133" s="39">
        <f t="shared" si="78"/>
        <v>181694.4444444445</v>
      </c>
      <c r="AA133" s="40">
        <f>SUM(E133:Z133)</f>
        <v>3914395.833333334</v>
      </c>
    </row>
    <row r="134" spans="2:27" ht="15">
      <c r="B134" s="32" t="s">
        <v>87</v>
      </c>
      <c r="C134" s="39">
        <f>C129+1080000</f>
        <v>4180000</v>
      </c>
      <c r="D134" s="39" t="s">
        <v>88</v>
      </c>
      <c r="E134" s="39"/>
      <c r="F134" s="39"/>
      <c r="G134" s="39"/>
      <c r="H134" s="39">
        <f>$C$134*0.65*0.03</f>
        <v>81510</v>
      </c>
      <c r="I134" s="39">
        <f aca="true" t="shared" si="79" ref="I134:Z134">$C$134*0.65*0.03</f>
        <v>81510</v>
      </c>
      <c r="J134" s="39">
        <f t="shared" si="79"/>
        <v>81510</v>
      </c>
      <c r="K134" s="39">
        <f t="shared" si="79"/>
        <v>81510</v>
      </c>
      <c r="L134" s="39">
        <f t="shared" si="79"/>
        <v>81510</v>
      </c>
      <c r="M134" s="39">
        <f t="shared" si="79"/>
        <v>81510</v>
      </c>
      <c r="N134" s="39">
        <f t="shared" si="79"/>
        <v>81510</v>
      </c>
      <c r="O134" s="39">
        <f t="shared" si="79"/>
        <v>81510</v>
      </c>
      <c r="P134" s="39">
        <f t="shared" si="79"/>
        <v>81510</v>
      </c>
      <c r="Q134" s="39">
        <f t="shared" si="79"/>
        <v>81510</v>
      </c>
      <c r="R134" s="39">
        <f t="shared" si="79"/>
        <v>81510</v>
      </c>
      <c r="S134" s="39">
        <f t="shared" si="79"/>
        <v>81510</v>
      </c>
      <c r="T134" s="39">
        <f t="shared" si="79"/>
        <v>81510</v>
      </c>
      <c r="U134" s="39">
        <f t="shared" si="79"/>
        <v>81510</v>
      </c>
      <c r="V134" s="39">
        <f t="shared" si="79"/>
        <v>81510</v>
      </c>
      <c r="W134" s="39">
        <f t="shared" si="79"/>
        <v>81510</v>
      </c>
      <c r="X134" s="39">
        <f t="shared" si="79"/>
        <v>81510</v>
      </c>
      <c r="Y134" s="39">
        <f t="shared" si="79"/>
        <v>81510</v>
      </c>
      <c r="Z134" s="39">
        <f t="shared" si="79"/>
        <v>81510</v>
      </c>
      <c r="AA134" s="40">
        <f>SUM(E134:Z134)</f>
        <v>1548690</v>
      </c>
    </row>
    <row r="135" spans="2:27" ht="15">
      <c r="B135" s="32"/>
      <c r="C135" s="32"/>
      <c r="D135" s="40" t="s">
        <v>80</v>
      </c>
      <c r="E135" s="40">
        <f>SUM(E133:E134)</f>
        <v>0</v>
      </c>
      <c r="F135" s="40">
        <f aca="true" t="shared" si="80" ref="F135:Z135">SUM(F133:F134)</f>
        <v>0</v>
      </c>
      <c r="G135" s="40">
        <f t="shared" si="80"/>
        <v>5812.5</v>
      </c>
      <c r="H135" s="40">
        <f t="shared" si="80"/>
        <v>104760</v>
      </c>
      <c r="I135" s="40">
        <f t="shared" si="80"/>
        <v>292482.22222222225</v>
      </c>
      <c r="J135" s="40">
        <f t="shared" si="80"/>
        <v>297648.8888888889</v>
      </c>
      <c r="K135" s="40">
        <f t="shared" si="80"/>
        <v>301954.44444444444</v>
      </c>
      <c r="L135" s="40">
        <f t="shared" si="80"/>
        <v>305398.8888888889</v>
      </c>
      <c r="M135" s="40">
        <f t="shared" si="80"/>
        <v>307982.22222222225</v>
      </c>
      <c r="N135" s="40">
        <f t="shared" si="80"/>
        <v>309704.4444444445</v>
      </c>
      <c r="O135" s="40">
        <f t="shared" si="80"/>
        <v>310565.55555555556</v>
      </c>
      <c r="P135" s="40">
        <f t="shared" si="80"/>
        <v>310565.55555555556</v>
      </c>
      <c r="Q135" s="40">
        <f t="shared" si="80"/>
        <v>309704.4444444445</v>
      </c>
      <c r="R135" s="40">
        <f t="shared" si="80"/>
        <v>307982.22222222225</v>
      </c>
      <c r="S135" s="40">
        <f t="shared" si="80"/>
        <v>305398.88888888893</v>
      </c>
      <c r="T135" s="40">
        <f t="shared" si="80"/>
        <v>301954.4444444445</v>
      </c>
      <c r="U135" s="40">
        <f t="shared" si="80"/>
        <v>297648.88888888893</v>
      </c>
      <c r="V135" s="40">
        <f t="shared" si="80"/>
        <v>292482.22222222225</v>
      </c>
      <c r="W135" s="40">
        <f t="shared" si="80"/>
        <v>286454.4444444445</v>
      </c>
      <c r="X135" s="40">
        <f t="shared" si="80"/>
        <v>279565.5555555556</v>
      </c>
      <c r="Y135" s="40">
        <f t="shared" si="80"/>
        <v>271815.5555555556</v>
      </c>
      <c r="Z135" s="40">
        <f t="shared" si="80"/>
        <v>263204.4444444445</v>
      </c>
      <c r="AA135" s="40">
        <f>SUM(AA133:AA133)</f>
        <v>3914395.833333334</v>
      </c>
    </row>
    <row r="137" spans="1:27" ht="15">
      <c r="A137" t="s">
        <v>32</v>
      </c>
      <c r="B137" s="38" t="s">
        <v>16</v>
      </c>
      <c r="C137" s="39">
        <v>1150000</v>
      </c>
      <c r="D137" s="39" t="s">
        <v>57</v>
      </c>
      <c r="E137" s="39">
        <v>0</v>
      </c>
      <c r="F137" s="39">
        <f>0.25*C137</f>
        <v>287500</v>
      </c>
      <c r="G137" s="39">
        <f>0.5*C137</f>
        <v>575000</v>
      </c>
      <c r="H137" s="39">
        <f>0.25*C137</f>
        <v>287500</v>
      </c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</row>
    <row r="138" spans="2:27" ht="15">
      <c r="B138" s="32"/>
      <c r="C138" s="32"/>
      <c r="D138" s="39" t="s">
        <v>83</v>
      </c>
      <c r="E138" s="39">
        <v>0</v>
      </c>
      <c r="F138" s="39">
        <f>F137</f>
        <v>287500</v>
      </c>
      <c r="G138" s="39">
        <f>F137+G137</f>
        <v>862500</v>
      </c>
      <c r="H138" s="39">
        <f>F137+G137+H137</f>
        <v>1150000</v>
      </c>
      <c r="I138" s="39">
        <f>H138-$H138/18</f>
        <v>1086111.111111111</v>
      </c>
      <c r="J138" s="39">
        <f aca="true" t="shared" si="81" ref="J138:Z138">I138-$H138/18</f>
        <v>1022222.2222222221</v>
      </c>
      <c r="K138" s="39">
        <f t="shared" si="81"/>
        <v>958333.3333333333</v>
      </c>
      <c r="L138" s="39">
        <f t="shared" si="81"/>
        <v>894444.4444444444</v>
      </c>
      <c r="M138" s="39">
        <f t="shared" si="81"/>
        <v>830555.5555555555</v>
      </c>
      <c r="N138" s="39">
        <f t="shared" si="81"/>
        <v>766666.6666666666</v>
      </c>
      <c r="O138" s="39">
        <f t="shared" si="81"/>
        <v>702777.7777777778</v>
      </c>
      <c r="P138" s="39">
        <f t="shared" si="81"/>
        <v>638888.8888888889</v>
      </c>
      <c r="Q138" s="39">
        <f t="shared" si="81"/>
        <v>575000</v>
      </c>
      <c r="R138" s="39">
        <f t="shared" si="81"/>
        <v>511111.1111111111</v>
      </c>
      <c r="S138" s="39">
        <f t="shared" si="81"/>
        <v>447222.22222222225</v>
      </c>
      <c r="T138" s="39">
        <f t="shared" si="81"/>
        <v>383333.3333333334</v>
      </c>
      <c r="U138" s="39">
        <f t="shared" si="81"/>
        <v>319444.4444444445</v>
      </c>
      <c r="V138" s="39">
        <f t="shared" si="81"/>
        <v>255555.55555555562</v>
      </c>
      <c r="W138" s="39">
        <f t="shared" si="81"/>
        <v>191666.66666666674</v>
      </c>
      <c r="X138" s="39">
        <f t="shared" si="81"/>
        <v>127777.77777777785</v>
      </c>
      <c r="Y138" s="39">
        <f t="shared" si="81"/>
        <v>63888.88888888896</v>
      </c>
      <c r="Z138" s="39">
        <f t="shared" si="81"/>
        <v>7.275957614183426E-11</v>
      </c>
      <c r="AA138" s="39"/>
    </row>
    <row r="139" spans="2:27" ht="15">
      <c r="B139" s="32"/>
      <c r="C139" s="32"/>
      <c r="D139" s="39" t="s">
        <v>84</v>
      </c>
      <c r="E139" s="39">
        <v>0</v>
      </c>
      <c r="F139" s="39">
        <f>$E$6*E138</f>
        <v>0</v>
      </c>
      <c r="G139" s="39">
        <f>F138*$F$6</f>
        <v>2156.25</v>
      </c>
      <c r="H139" s="39">
        <f>G138*$G$6</f>
        <v>8625</v>
      </c>
      <c r="I139" s="39">
        <f>H138*$H$6</f>
        <v>14375</v>
      </c>
      <c r="J139" s="39">
        <f>I138*$I$6</f>
        <v>16291.666666666666</v>
      </c>
      <c r="K139" s="39">
        <f>J138*$J$6</f>
        <v>17888.88888888889</v>
      </c>
      <c r="L139" s="39">
        <f>K138*$K$6</f>
        <v>19166.666666666664</v>
      </c>
      <c r="M139" s="39">
        <f>L138*$L$6</f>
        <v>20124.999999999996</v>
      </c>
      <c r="N139" s="39">
        <f>M138*$M$6</f>
        <v>20763.888888888887</v>
      </c>
      <c r="O139" s="39">
        <f>N138*$N$6</f>
        <v>21083.33333333333</v>
      </c>
      <c r="P139" s="39">
        <f>O138*$O$6</f>
        <v>21083.33333333333</v>
      </c>
      <c r="Q139" s="39">
        <f>P138*$P$6</f>
        <v>20763.888888888883</v>
      </c>
      <c r="R139" s="39">
        <f>Q138*$Q$6</f>
        <v>20124.999999999996</v>
      </c>
      <c r="S139" s="39">
        <f>R138*$R$6</f>
        <v>19166.666666666668</v>
      </c>
      <c r="T139" s="39">
        <f>S138*$S$6</f>
        <v>17888.88888888889</v>
      </c>
      <c r="U139" s="39">
        <f>T138*$T$6</f>
        <v>16291.66666666667</v>
      </c>
      <c r="V139" s="39">
        <f>U138*$U$6</f>
        <v>14375.000000000004</v>
      </c>
      <c r="W139" s="39">
        <f>V138*$V$6</f>
        <v>12138.888888888894</v>
      </c>
      <c r="X139" s="39">
        <f>W138*$W$6</f>
        <v>9583.33333333334</v>
      </c>
      <c r="Y139" s="39">
        <f>X138*$X$6</f>
        <v>6708.3333333333385</v>
      </c>
      <c r="Z139" s="39">
        <f>Y138*$Y$6</f>
        <v>3513.8888888888937</v>
      </c>
      <c r="AA139" s="39">
        <f>SUM(E139:Z139)</f>
        <v>302114.58333333326</v>
      </c>
    </row>
    <row r="140" spans="2:27" ht="15">
      <c r="B140" s="32"/>
      <c r="C140" s="32"/>
      <c r="D140" s="39" t="s">
        <v>85</v>
      </c>
      <c r="E140" s="39">
        <v>0</v>
      </c>
      <c r="F140" s="39">
        <v>0</v>
      </c>
      <c r="G140" s="39">
        <v>0</v>
      </c>
      <c r="H140" s="39"/>
      <c r="I140" s="39">
        <f>$H138/18</f>
        <v>63888.88888888889</v>
      </c>
      <c r="J140" s="39">
        <f aca="true" t="shared" si="82" ref="J140:Z140">$H138/18</f>
        <v>63888.88888888889</v>
      </c>
      <c r="K140" s="39">
        <f t="shared" si="82"/>
        <v>63888.88888888889</v>
      </c>
      <c r="L140" s="39">
        <f t="shared" si="82"/>
        <v>63888.88888888889</v>
      </c>
      <c r="M140" s="39">
        <f t="shared" si="82"/>
        <v>63888.88888888889</v>
      </c>
      <c r="N140" s="39">
        <f t="shared" si="82"/>
        <v>63888.88888888889</v>
      </c>
      <c r="O140" s="39">
        <f t="shared" si="82"/>
        <v>63888.88888888889</v>
      </c>
      <c r="P140" s="39">
        <f t="shared" si="82"/>
        <v>63888.88888888889</v>
      </c>
      <c r="Q140" s="39">
        <f t="shared" si="82"/>
        <v>63888.88888888889</v>
      </c>
      <c r="R140" s="39">
        <f t="shared" si="82"/>
        <v>63888.88888888889</v>
      </c>
      <c r="S140" s="39">
        <f t="shared" si="82"/>
        <v>63888.88888888889</v>
      </c>
      <c r="T140" s="39">
        <f t="shared" si="82"/>
        <v>63888.88888888889</v>
      </c>
      <c r="U140" s="39">
        <f t="shared" si="82"/>
        <v>63888.88888888889</v>
      </c>
      <c r="V140" s="39">
        <f t="shared" si="82"/>
        <v>63888.88888888889</v>
      </c>
      <c r="W140" s="39">
        <f t="shared" si="82"/>
        <v>63888.88888888889</v>
      </c>
      <c r="X140" s="39">
        <f t="shared" si="82"/>
        <v>63888.88888888889</v>
      </c>
      <c r="Y140" s="39">
        <f t="shared" si="82"/>
        <v>63888.88888888889</v>
      </c>
      <c r="Z140" s="39">
        <f t="shared" si="82"/>
        <v>63888.88888888889</v>
      </c>
      <c r="AA140" s="39">
        <f>SUM(E140:Z140)</f>
        <v>1150000</v>
      </c>
    </row>
    <row r="141" spans="2:27" ht="15">
      <c r="B141" s="32"/>
      <c r="C141" s="32"/>
      <c r="D141" s="39" t="s">
        <v>86</v>
      </c>
      <c r="E141" s="39">
        <v>0</v>
      </c>
      <c r="F141" s="39">
        <f>F139+F140</f>
        <v>0</v>
      </c>
      <c r="G141" s="39">
        <f aca="true" t="shared" si="83" ref="G141:Z141">G139+G140</f>
        <v>2156.25</v>
      </c>
      <c r="H141" s="39">
        <f t="shared" si="83"/>
        <v>8625</v>
      </c>
      <c r="I141" s="39">
        <f t="shared" si="83"/>
        <v>78263.88888888889</v>
      </c>
      <c r="J141" s="39">
        <f t="shared" si="83"/>
        <v>80180.55555555556</v>
      </c>
      <c r="K141" s="39">
        <f t="shared" si="83"/>
        <v>81777.77777777778</v>
      </c>
      <c r="L141" s="39">
        <f t="shared" si="83"/>
        <v>83055.55555555556</v>
      </c>
      <c r="M141" s="39">
        <f t="shared" si="83"/>
        <v>84013.88888888889</v>
      </c>
      <c r="N141" s="39">
        <f t="shared" si="83"/>
        <v>84652.77777777778</v>
      </c>
      <c r="O141" s="39">
        <f t="shared" si="83"/>
        <v>84972.22222222222</v>
      </c>
      <c r="P141" s="39">
        <f t="shared" si="83"/>
        <v>84972.22222222222</v>
      </c>
      <c r="Q141" s="39">
        <f t="shared" si="83"/>
        <v>84652.77777777778</v>
      </c>
      <c r="R141" s="39">
        <f t="shared" si="83"/>
        <v>84013.88888888889</v>
      </c>
      <c r="S141" s="39">
        <f t="shared" si="83"/>
        <v>83055.55555555556</v>
      </c>
      <c r="T141" s="39">
        <f t="shared" si="83"/>
        <v>81777.77777777778</v>
      </c>
      <c r="U141" s="39">
        <f t="shared" si="83"/>
        <v>80180.55555555556</v>
      </c>
      <c r="V141" s="39">
        <f t="shared" si="83"/>
        <v>78263.88888888889</v>
      </c>
      <c r="W141" s="39">
        <f t="shared" si="83"/>
        <v>76027.77777777778</v>
      </c>
      <c r="X141" s="39">
        <f t="shared" si="83"/>
        <v>73472.22222222223</v>
      </c>
      <c r="Y141" s="39">
        <f t="shared" si="83"/>
        <v>70597.22222222223</v>
      </c>
      <c r="Z141" s="39">
        <f t="shared" si="83"/>
        <v>67402.77777777778</v>
      </c>
      <c r="AA141" s="40">
        <f>SUM(E141:Z141)</f>
        <v>1452114.5833333333</v>
      </c>
    </row>
    <row r="142" spans="2:27" ht="15">
      <c r="B142" s="32" t="s">
        <v>87</v>
      </c>
      <c r="C142" s="39">
        <f>C137+380000</f>
        <v>1530000</v>
      </c>
      <c r="D142" s="39" t="s">
        <v>88</v>
      </c>
      <c r="E142" s="39"/>
      <c r="F142" s="39"/>
      <c r="G142" s="39"/>
      <c r="H142" s="39">
        <f>$C$142*0.65*0.03</f>
        <v>29835</v>
      </c>
      <c r="I142" s="39">
        <f aca="true" t="shared" si="84" ref="I142:Z142">$C$142*0.65*0.03</f>
        <v>29835</v>
      </c>
      <c r="J142" s="39">
        <f t="shared" si="84"/>
        <v>29835</v>
      </c>
      <c r="K142" s="39">
        <f t="shared" si="84"/>
        <v>29835</v>
      </c>
      <c r="L142" s="39">
        <f t="shared" si="84"/>
        <v>29835</v>
      </c>
      <c r="M142" s="39">
        <f t="shared" si="84"/>
        <v>29835</v>
      </c>
      <c r="N142" s="39">
        <f t="shared" si="84"/>
        <v>29835</v>
      </c>
      <c r="O142" s="39">
        <f t="shared" si="84"/>
        <v>29835</v>
      </c>
      <c r="P142" s="39">
        <f t="shared" si="84"/>
        <v>29835</v>
      </c>
      <c r="Q142" s="39">
        <f t="shared" si="84"/>
        <v>29835</v>
      </c>
      <c r="R142" s="39">
        <f t="shared" si="84"/>
        <v>29835</v>
      </c>
      <c r="S142" s="39">
        <f t="shared" si="84"/>
        <v>29835</v>
      </c>
      <c r="T142" s="39">
        <f t="shared" si="84"/>
        <v>29835</v>
      </c>
      <c r="U142" s="39">
        <f t="shared" si="84"/>
        <v>29835</v>
      </c>
      <c r="V142" s="39">
        <f t="shared" si="84"/>
        <v>29835</v>
      </c>
      <c r="W142" s="39">
        <f t="shared" si="84"/>
        <v>29835</v>
      </c>
      <c r="X142" s="39">
        <f t="shared" si="84"/>
        <v>29835</v>
      </c>
      <c r="Y142" s="39">
        <f t="shared" si="84"/>
        <v>29835</v>
      </c>
      <c r="Z142" s="39">
        <f t="shared" si="84"/>
        <v>29835</v>
      </c>
      <c r="AA142" s="40">
        <f>SUM(E142:Z142)</f>
        <v>566865</v>
      </c>
    </row>
    <row r="143" spans="2:27" ht="15">
      <c r="B143" s="32"/>
      <c r="C143" s="32"/>
      <c r="D143" s="40" t="s">
        <v>80</v>
      </c>
      <c r="E143" s="40">
        <f>SUM(E141:E142)</f>
        <v>0</v>
      </c>
      <c r="F143" s="40">
        <f aca="true" t="shared" si="85" ref="F143:Z143">SUM(F141:F142)</f>
        <v>0</v>
      </c>
      <c r="G143" s="40">
        <f t="shared" si="85"/>
        <v>2156.25</v>
      </c>
      <c r="H143" s="40">
        <f t="shared" si="85"/>
        <v>38460</v>
      </c>
      <c r="I143" s="40">
        <f t="shared" si="85"/>
        <v>108098.88888888889</v>
      </c>
      <c r="J143" s="40">
        <f t="shared" si="85"/>
        <v>110015.55555555556</v>
      </c>
      <c r="K143" s="40">
        <f t="shared" si="85"/>
        <v>111612.77777777778</v>
      </c>
      <c r="L143" s="40">
        <f t="shared" si="85"/>
        <v>112890.55555555556</v>
      </c>
      <c r="M143" s="40">
        <f t="shared" si="85"/>
        <v>113848.88888888889</v>
      </c>
      <c r="N143" s="40">
        <f t="shared" si="85"/>
        <v>114487.77777777778</v>
      </c>
      <c r="O143" s="40">
        <f t="shared" si="85"/>
        <v>114807.22222222222</v>
      </c>
      <c r="P143" s="40">
        <f t="shared" si="85"/>
        <v>114807.22222222222</v>
      </c>
      <c r="Q143" s="40">
        <f t="shared" si="85"/>
        <v>114487.77777777778</v>
      </c>
      <c r="R143" s="40">
        <f t="shared" si="85"/>
        <v>113848.88888888889</v>
      </c>
      <c r="S143" s="40">
        <f t="shared" si="85"/>
        <v>112890.55555555556</v>
      </c>
      <c r="T143" s="40">
        <f t="shared" si="85"/>
        <v>111612.77777777778</v>
      </c>
      <c r="U143" s="40">
        <f t="shared" si="85"/>
        <v>110015.55555555556</v>
      </c>
      <c r="V143" s="40">
        <f t="shared" si="85"/>
        <v>108098.88888888889</v>
      </c>
      <c r="W143" s="40">
        <f t="shared" si="85"/>
        <v>105862.77777777778</v>
      </c>
      <c r="X143" s="40">
        <f t="shared" si="85"/>
        <v>103307.22222222223</v>
      </c>
      <c r="Y143" s="40">
        <f t="shared" si="85"/>
        <v>100432.22222222223</v>
      </c>
      <c r="Z143" s="40">
        <f t="shared" si="85"/>
        <v>97237.77777777778</v>
      </c>
      <c r="AA143" s="40">
        <f>SUM(AA141:AA141)</f>
        <v>1452114.5833333333</v>
      </c>
    </row>
    <row r="145" spans="1:27" ht="15">
      <c r="A145" t="s">
        <v>32</v>
      </c>
      <c r="B145" s="38" t="s">
        <v>17</v>
      </c>
      <c r="C145" s="39">
        <v>1110000</v>
      </c>
      <c r="D145" s="39" t="s">
        <v>57</v>
      </c>
      <c r="E145" s="39">
        <v>0</v>
      </c>
      <c r="F145" s="39">
        <f>0.25*C145</f>
        <v>277500</v>
      </c>
      <c r="G145" s="39">
        <f>0.5*C145</f>
        <v>555000</v>
      </c>
      <c r="H145" s="39">
        <f>0.25*C145</f>
        <v>277500</v>
      </c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</row>
    <row r="146" spans="2:27" ht="15">
      <c r="B146" s="32"/>
      <c r="C146" s="32"/>
      <c r="D146" s="39" t="s">
        <v>83</v>
      </c>
      <c r="E146" s="39">
        <v>0</v>
      </c>
      <c r="F146" s="39">
        <f>F145</f>
        <v>277500</v>
      </c>
      <c r="G146" s="39">
        <f>F145+G145</f>
        <v>832500</v>
      </c>
      <c r="H146" s="39">
        <f>F145+G145+H145</f>
        <v>1110000</v>
      </c>
      <c r="I146" s="39">
        <f>H146-$H146/18</f>
        <v>1048333.3333333334</v>
      </c>
      <c r="J146" s="39">
        <f aca="true" t="shared" si="86" ref="J146:Z146">I146-$H146/18</f>
        <v>986666.6666666667</v>
      </c>
      <c r="K146" s="39">
        <f t="shared" si="86"/>
        <v>925000.0000000001</v>
      </c>
      <c r="L146" s="39">
        <f t="shared" si="86"/>
        <v>863333.3333333335</v>
      </c>
      <c r="M146" s="39">
        <f t="shared" si="86"/>
        <v>801666.6666666669</v>
      </c>
      <c r="N146" s="39">
        <f t="shared" si="86"/>
        <v>740000.0000000002</v>
      </c>
      <c r="O146" s="39">
        <f t="shared" si="86"/>
        <v>678333.3333333336</v>
      </c>
      <c r="P146" s="39">
        <f t="shared" si="86"/>
        <v>616666.666666667</v>
      </c>
      <c r="Q146" s="39">
        <f t="shared" si="86"/>
        <v>555000.0000000003</v>
      </c>
      <c r="R146" s="39">
        <f t="shared" si="86"/>
        <v>493333.33333333366</v>
      </c>
      <c r="S146" s="39">
        <f t="shared" si="86"/>
        <v>431666.666666667</v>
      </c>
      <c r="T146" s="39">
        <f t="shared" si="86"/>
        <v>370000.0000000003</v>
      </c>
      <c r="U146" s="39">
        <f t="shared" si="86"/>
        <v>308333.3333333336</v>
      </c>
      <c r="V146" s="39">
        <f t="shared" si="86"/>
        <v>246666.66666666695</v>
      </c>
      <c r="W146" s="39">
        <f t="shared" si="86"/>
        <v>185000.0000000003</v>
      </c>
      <c r="X146" s="39">
        <f t="shared" si="86"/>
        <v>123333.33333333363</v>
      </c>
      <c r="Y146" s="39">
        <f t="shared" si="86"/>
        <v>61666.66666666697</v>
      </c>
      <c r="Z146" s="39">
        <f t="shared" si="86"/>
        <v>3.055902197957039E-10</v>
      </c>
      <c r="AA146" s="39"/>
    </row>
    <row r="147" spans="2:27" ht="15">
      <c r="B147" s="32"/>
      <c r="C147" s="32"/>
      <c r="D147" s="39" t="s">
        <v>84</v>
      </c>
      <c r="E147" s="39">
        <v>0</v>
      </c>
      <c r="F147" s="39">
        <f>$E$6*E146</f>
        <v>0</v>
      </c>
      <c r="G147" s="39">
        <f>F146*$F$6</f>
        <v>2081.25</v>
      </c>
      <c r="H147" s="39">
        <f>G146*$G$6</f>
        <v>8325</v>
      </c>
      <c r="I147" s="39">
        <f>H146*$H$6</f>
        <v>13875</v>
      </c>
      <c r="J147" s="39">
        <f>I146*$I$6</f>
        <v>15725.000000000002</v>
      </c>
      <c r="K147" s="39">
        <f>J146*$J$6</f>
        <v>17266.666666666668</v>
      </c>
      <c r="L147" s="39">
        <f>K146*$K$6</f>
        <v>18500.000000000004</v>
      </c>
      <c r="M147" s="39">
        <f>L146*$L$6</f>
        <v>19425.000000000004</v>
      </c>
      <c r="N147" s="39">
        <f>M146*$M$6</f>
        <v>20041.66666666667</v>
      </c>
      <c r="O147" s="39">
        <f>N146*$N$6</f>
        <v>20350.000000000004</v>
      </c>
      <c r="P147" s="39">
        <f>O146*$O$6</f>
        <v>20350.000000000004</v>
      </c>
      <c r="Q147" s="39">
        <f>P146*$P$6</f>
        <v>20041.66666666667</v>
      </c>
      <c r="R147" s="39">
        <f>Q146*$Q$6</f>
        <v>19425.00000000001</v>
      </c>
      <c r="S147" s="39">
        <f>R146*$R$6</f>
        <v>18500.00000000001</v>
      </c>
      <c r="T147" s="39">
        <f>S146*$S$6</f>
        <v>17266.66666666668</v>
      </c>
      <c r="U147" s="39">
        <f>T146*$T$6</f>
        <v>15725.000000000013</v>
      </c>
      <c r="V147" s="39">
        <f>U146*$U$6</f>
        <v>13875.000000000015</v>
      </c>
      <c r="W147" s="39">
        <f>V146*$V$6</f>
        <v>11716.666666666682</v>
      </c>
      <c r="X147" s="39">
        <f>W146*$W$6</f>
        <v>9250.000000000016</v>
      </c>
      <c r="Y147" s="39">
        <f>X146*$X$6</f>
        <v>6475.000000000017</v>
      </c>
      <c r="Z147" s="39">
        <f>Y146*$Y$6</f>
        <v>3391.6666666666843</v>
      </c>
      <c r="AA147" s="39">
        <f>SUM(E147:Z147)</f>
        <v>291606.25000000006</v>
      </c>
    </row>
    <row r="148" spans="2:27" ht="15">
      <c r="B148" s="32"/>
      <c r="C148" s="32"/>
      <c r="D148" s="39" t="s">
        <v>85</v>
      </c>
      <c r="E148" s="39">
        <v>0</v>
      </c>
      <c r="F148" s="39">
        <v>0</v>
      </c>
      <c r="G148" s="39">
        <v>0</v>
      </c>
      <c r="H148" s="39"/>
      <c r="I148" s="39">
        <f>$H146/18</f>
        <v>61666.666666666664</v>
      </c>
      <c r="J148" s="39">
        <f aca="true" t="shared" si="87" ref="J148:Z148">$H146/18</f>
        <v>61666.666666666664</v>
      </c>
      <c r="K148" s="39">
        <f t="shared" si="87"/>
        <v>61666.666666666664</v>
      </c>
      <c r="L148" s="39">
        <f t="shared" si="87"/>
        <v>61666.666666666664</v>
      </c>
      <c r="M148" s="39">
        <f t="shared" si="87"/>
        <v>61666.666666666664</v>
      </c>
      <c r="N148" s="39">
        <f t="shared" si="87"/>
        <v>61666.666666666664</v>
      </c>
      <c r="O148" s="39">
        <f t="shared" si="87"/>
        <v>61666.666666666664</v>
      </c>
      <c r="P148" s="39">
        <f t="shared" si="87"/>
        <v>61666.666666666664</v>
      </c>
      <c r="Q148" s="39">
        <f t="shared" si="87"/>
        <v>61666.666666666664</v>
      </c>
      <c r="R148" s="39">
        <f t="shared" si="87"/>
        <v>61666.666666666664</v>
      </c>
      <c r="S148" s="39">
        <f t="shared" si="87"/>
        <v>61666.666666666664</v>
      </c>
      <c r="T148" s="39">
        <f t="shared" si="87"/>
        <v>61666.666666666664</v>
      </c>
      <c r="U148" s="39">
        <f t="shared" si="87"/>
        <v>61666.666666666664</v>
      </c>
      <c r="V148" s="39">
        <f t="shared" si="87"/>
        <v>61666.666666666664</v>
      </c>
      <c r="W148" s="39">
        <f t="shared" si="87"/>
        <v>61666.666666666664</v>
      </c>
      <c r="X148" s="39">
        <f t="shared" si="87"/>
        <v>61666.666666666664</v>
      </c>
      <c r="Y148" s="39">
        <f t="shared" si="87"/>
        <v>61666.666666666664</v>
      </c>
      <c r="Z148" s="39">
        <f t="shared" si="87"/>
        <v>61666.666666666664</v>
      </c>
      <c r="AA148" s="39">
        <f>SUM(E148:Z148)</f>
        <v>1109999.9999999998</v>
      </c>
    </row>
    <row r="149" spans="2:27" ht="15">
      <c r="B149" s="32"/>
      <c r="C149" s="32"/>
      <c r="D149" s="39" t="s">
        <v>86</v>
      </c>
      <c r="E149" s="39">
        <v>0</v>
      </c>
      <c r="F149" s="39">
        <f>F147+F148</f>
        <v>0</v>
      </c>
      <c r="G149" s="39">
        <f aca="true" t="shared" si="88" ref="G149:Z149">G147+G148</f>
        <v>2081.25</v>
      </c>
      <c r="H149" s="39">
        <f t="shared" si="88"/>
        <v>8325</v>
      </c>
      <c r="I149" s="39">
        <f t="shared" si="88"/>
        <v>75541.66666666666</v>
      </c>
      <c r="J149" s="39">
        <f t="shared" si="88"/>
        <v>77391.66666666667</v>
      </c>
      <c r="K149" s="39">
        <f t="shared" si="88"/>
        <v>78933.33333333333</v>
      </c>
      <c r="L149" s="39">
        <f t="shared" si="88"/>
        <v>80166.66666666667</v>
      </c>
      <c r="M149" s="39">
        <f t="shared" si="88"/>
        <v>81091.66666666667</v>
      </c>
      <c r="N149" s="39">
        <f t="shared" si="88"/>
        <v>81708.33333333334</v>
      </c>
      <c r="O149" s="39">
        <f t="shared" si="88"/>
        <v>82016.66666666667</v>
      </c>
      <c r="P149" s="39">
        <f t="shared" si="88"/>
        <v>82016.66666666667</v>
      </c>
      <c r="Q149" s="39">
        <f t="shared" si="88"/>
        <v>81708.33333333334</v>
      </c>
      <c r="R149" s="39">
        <f t="shared" si="88"/>
        <v>81091.66666666667</v>
      </c>
      <c r="S149" s="39">
        <f t="shared" si="88"/>
        <v>80166.66666666667</v>
      </c>
      <c r="T149" s="39">
        <f t="shared" si="88"/>
        <v>78933.33333333334</v>
      </c>
      <c r="U149" s="39">
        <f t="shared" si="88"/>
        <v>77391.66666666667</v>
      </c>
      <c r="V149" s="39">
        <f t="shared" si="88"/>
        <v>75541.66666666669</v>
      </c>
      <c r="W149" s="39">
        <f t="shared" si="88"/>
        <v>73383.33333333334</v>
      </c>
      <c r="X149" s="39">
        <f t="shared" si="88"/>
        <v>70916.66666666669</v>
      </c>
      <c r="Y149" s="39">
        <f t="shared" si="88"/>
        <v>68141.66666666669</v>
      </c>
      <c r="Z149" s="39">
        <f t="shared" si="88"/>
        <v>65058.33333333335</v>
      </c>
      <c r="AA149" s="40">
        <f>SUM(E149:Z149)</f>
        <v>1401606.25</v>
      </c>
    </row>
    <row r="150" spans="2:27" ht="15">
      <c r="B150" s="32" t="s">
        <v>87</v>
      </c>
      <c r="C150" s="39">
        <f>C145+350000</f>
        <v>1460000</v>
      </c>
      <c r="D150" s="39" t="s">
        <v>88</v>
      </c>
      <c r="E150" s="39"/>
      <c r="F150" s="39"/>
      <c r="G150" s="39"/>
      <c r="H150" s="39">
        <f>$C$150*0.65*0.03</f>
        <v>28470</v>
      </c>
      <c r="I150" s="39">
        <f aca="true" t="shared" si="89" ref="I150:Z150">$C$150*0.65*0.03</f>
        <v>28470</v>
      </c>
      <c r="J150" s="39">
        <f t="shared" si="89"/>
        <v>28470</v>
      </c>
      <c r="K150" s="39">
        <f t="shared" si="89"/>
        <v>28470</v>
      </c>
      <c r="L150" s="39">
        <f t="shared" si="89"/>
        <v>28470</v>
      </c>
      <c r="M150" s="39">
        <f t="shared" si="89"/>
        <v>28470</v>
      </c>
      <c r="N150" s="39">
        <f t="shared" si="89"/>
        <v>28470</v>
      </c>
      <c r="O150" s="39">
        <f t="shared" si="89"/>
        <v>28470</v>
      </c>
      <c r="P150" s="39">
        <f t="shared" si="89"/>
        <v>28470</v>
      </c>
      <c r="Q150" s="39">
        <f t="shared" si="89"/>
        <v>28470</v>
      </c>
      <c r="R150" s="39">
        <f t="shared" si="89"/>
        <v>28470</v>
      </c>
      <c r="S150" s="39">
        <f t="shared" si="89"/>
        <v>28470</v>
      </c>
      <c r="T150" s="39">
        <f t="shared" si="89"/>
        <v>28470</v>
      </c>
      <c r="U150" s="39">
        <f t="shared" si="89"/>
        <v>28470</v>
      </c>
      <c r="V150" s="39">
        <f t="shared" si="89"/>
        <v>28470</v>
      </c>
      <c r="W150" s="39">
        <f t="shared" si="89"/>
        <v>28470</v>
      </c>
      <c r="X150" s="39">
        <f t="shared" si="89"/>
        <v>28470</v>
      </c>
      <c r="Y150" s="39">
        <f t="shared" si="89"/>
        <v>28470</v>
      </c>
      <c r="Z150" s="39">
        <f t="shared" si="89"/>
        <v>28470</v>
      </c>
      <c r="AA150" s="40">
        <f>SUM(E150:Z150)</f>
        <v>540930</v>
      </c>
    </row>
    <row r="151" spans="2:27" ht="15">
      <c r="B151" s="32"/>
      <c r="C151" s="32"/>
      <c r="D151" s="40" t="s">
        <v>80</v>
      </c>
      <c r="E151" s="40">
        <f>SUM(E149:E150)</f>
        <v>0</v>
      </c>
      <c r="F151" s="40">
        <f aca="true" t="shared" si="90" ref="F151:Z151">SUM(F149:F150)</f>
        <v>0</v>
      </c>
      <c r="G151" s="40">
        <f t="shared" si="90"/>
        <v>2081.25</v>
      </c>
      <c r="H151" s="40">
        <f t="shared" si="90"/>
        <v>36795</v>
      </c>
      <c r="I151" s="40">
        <f t="shared" si="90"/>
        <v>104011.66666666666</v>
      </c>
      <c r="J151" s="40">
        <f t="shared" si="90"/>
        <v>105861.66666666667</v>
      </c>
      <c r="K151" s="40">
        <f t="shared" si="90"/>
        <v>107403.33333333333</v>
      </c>
      <c r="L151" s="40">
        <f t="shared" si="90"/>
        <v>108636.66666666667</v>
      </c>
      <c r="M151" s="40">
        <f t="shared" si="90"/>
        <v>109561.66666666667</v>
      </c>
      <c r="N151" s="40">
        <f t="shared" si="90"/>
        <v>110178.33333333334</v>
      </c>
      <c r="O151" s="40">
        <f t="shared" si="90"/>
        <v>110486.66666666667</v>
      </c>
      <c r="P151" s="40">
        <f t="shared" si="90"/>
        <v>110486.66666666667</v>
      </c>
      <c r="Q151" s="40">
        <f t="shared" si="90"/>
        <v>110178.33333333334</v>
      </c>
      <c r="R151" s="40">
        <f t="shared" si="90"/>
        <v>109561.66666666667</v>
      </c>
      <c r="S151" s="40">
        <f t="shared" si="90"/>
        <v>108636.66666666667</v>
      </c>
      <c r="T151" s="40">
        <f t="shared" si="90"/>
        <v>107403.33333333334</v>
      </c>
      <c r="U151" s="40">
        <f t="shared" si="90"/>
        <v>105861.66666666667</v>
      </c>
      <c r="V151" s="40">
        <f t="shared" si="90"/>
        <v>104011.66666666669</v>
      </c>
      <c r="W151" s="40">
        <f t="shared" si="90"/>
        <v>101853.33333333334</v>
      </c>
      <c r="X151" s="40">
        <f t="shared" si="90"/>
        <v>99386.66666666669</v>
      </c>
      <c r="Y151" s="40">
        <f t="shared" si="90"/>
        <v>96611.66666666669</v>
      </c>
      <c r="Z151" s="40">
        <f t="shared" si="90"/>
        <v>93528.33333333334</v>
      </c>
      <c r="AA151" s="40">
        <f>SUM(AA149:AA149)</f>
        <v>1401606.25</v>
      </c>
    </row>
    <row r="153" spans="1:27" ht="15">
      <c r="A153" t="s">
        <v>32</v>
      </c>
      <c r="B153" s="38" t="s">
        <v>18</v>
      </c>
      <c r="C153" s="39">
        <v>860000</v>
      </c>
      <c r="D153" s="39" t="s">
        <v>57</v>
      </c>
      <c r="E153" s="39">
        <v>0</v>
      </c>
      <c r="F153" s="39">
        <f>0.25*C153</f>
        <v>215000</v>
      </c>
      <c r="G153" s="39">
        <f>0.5*C153</f>
        <v>430000</v>
      </c>
      <c r="H153" s="39">
        <f>0.25*C153</f>
        <v>215000</v>
      </c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</row>
    <row r="154" spans="2:27" ht="15">
      <c r="B154" s="32"/>
      <c r="C154" s="32"/>
      <c r="D154" s="39" t="s">
        <v>83</v>
      </c>
      <c r="E154" s="39">
        <v>0</v>
      </c>
      <c r="F154" s="39">
        <f>F153</f>
        <v>215000</v>
      </c>
      <c r="G154" s="39">
        <f>F153+G153</f>
        <v>645000</v>
      </c>
      <c r="H154" s="39">
        <f>F153+G153+H153</f>
        <v>860000</v>
      </c>
      <c r="I154" s="39">
        <f>H154-$H154/18</f>
        <v>812222.2222222222</v>
      </c>
      <c r="J154" s="39">
        <f aca="true" t="shared" si="91" ref="J154:Z154">I154-$H154/18</f>
        <v>764444.4444444445</v>
      </c>
      <c r="K154" s="39">
        <f t="shared" si="91"/>
        <v>716666.6666666667</v>
      </c>
      <c r="L154" s="39">
        <f t="shared" si="91"/>
        <v>668888.888888889</v>
      </c>
      <c r="M154" s="39">
        <f t="shared" si="91"/>
        <v>621111.1111111112</v>
      </c>
      <c r="N154" s="39">
        <f t="shared" si="91"/>
        <v>573333.3333333335</v>
      </c>
      <c r="O154" s="39">
        <f t="shared" si="91"/>
        <v>525555.5555555557</v>
      </c>
      <c r="P154" s="39">
        <f t="shared" si="91"/>
        <v>477777.777777778</v>
      </c>
      <c r="Q154" s="39">
        <f t="shared" si="91"/>
        <v>430000.00000000023</v>
      </c>
      <c r="R154" s="39">
        <f t="shared" si="91"/>
        <v>382222.2222222225</v>
      </c>
      <c r="S154" s="39">
        <f t="shared" si="91"/>
        <v>334444.4444444447</v>
      </c>
      <c r="T154" s="39">
        <f t="shared" si="91"/>
        <v>286666.666666667</v>
      </c>
      <c r="U154" s="39">
        <f t="shared" si="91"/>
        <v>238888.8888888892</v>
      </c>
      <c r="V154" s="39">
        <f t="shared" si="91"/>
        <v>191111.11111111142</v>
      </c>
      <c r="W154" s="39">
        <f t="shared" si="91"/>
        <v>143333.33333333363</v>
      </c>
      <c r="X154" s="39">
        <f t="shared" si="91"/>
        <v>95555.55555555585</v>
      </c>
      <c r="Y154" s="39">
        <f t="shared" si="91"/>
        <v>47777.77777777807</v>
      </c>
      <c r="Z154" s="39">
        <f t="shared" si="91"/>
        <v>2.9103830456733704E-10</v>
      </c>
      <c r="AA154" s="39"/>
    </row>
    <row r="155" spans="2:27" ht="15">
      <c r="B155" s="32"/>
      <c r="C155" s="32"/>
      <c r="D155" s="39" t="s">
        <v>84</v>
      </c>
      <c r="E155" s="39">
        <v>0</v>
      </c>
      <c r="F155" s="39">
        <f>$E$6*E154</f>
        <v>0</v>
      </c>
      <c r="G155" s="39">
        <f>F154*$F$6</f>
        <v>1612.5</v>
      </c>
      <c r="H155" s="39">
        <f>G154*$G$6</f>
        <v>6450</v>
      </c>
      <c r="I155" s="39">
        <f>H154*$H$6</f>
        <v>10750</v>
      </c>
      <c r="J155" s="39">
        <f>I154*$I$6</f>
        <v>12183.333333333334</v>
      </c>
      <c r="K155" s="39">
        <f>J154*$J$6</f>
        <v>13377.77777777778</v>
      </c>
      <c r="L155" s="39">
        <f>K154*$K$6</f>
        <v>14333.333333333336</v>
      </c>
      <c r="M155" s="39">
        <f>L154*$L$6</f>
        <v>15050.000000000002</v>
      </c>
      <c r="N155" s="39">
        <f>M154*$M$6</f>
        <v>15527.77777777778</v>
      </c>
      <c r="O155" s="39">
        <f>N154*$N$6</f>
        <v>15766.66666666667</v>
      </c>
      <c r="P155" s="39">
        <f>O154*$O$6</f>
        <v>15766.66666666667</v>
      </c>
      <c r="Q155" s="39">
        <f>P154*$P$6</f>
        <v>15527.777777777781</v>
      </c>
      <c r="R155" s="39">
        <f>Q154*$Q$6</f>
        <v>15050.000000000007</v>
      </c>
      <c r="S155" s="39">
        <f>R154*$R$6</f>
        <v>14333.333333333343</v>
      </c>
      <c r="T155" s="39">
        <f>S154*$S$6</f>
        <v>13377.77777777779</v>
      </c>
      <c r="U155" s="39">
        <f>T154*$T$6</f>
        <v>12183.333333333347</v>
      </c>
      <c r="V155" s="39">
        <f>U154*$U$6</f>
        <v>10750.000000000015</v>
      </c>
      <c r="W155" s="39">
        <f>V154*$V$6</f>
        <v>9077.777777777794</v>
      </c>
      <c r="X155" s="39">
        <f>W154*$W$6</f>
        <v>7166.666666666683</v>
      </c>
      <c r="Y155" s="39">
        <f>X154*$X$6</f>
        <v>5016.666666666683</v>
      </c>
      <c r="Z155" s="39">
        <f>Y154*$Y$6</f>
        <v>2627.7777777777947</v>
      </c>
      <c r="AA155" s="39">
        <f>SUM(E155:Z155)</f>
        <v>225929.1666666668</v>
      </c>
    </row>
    <row r="156" spans="2:27" ht="15">
      <c r="B156" s="32"/>
      <c r="C156" s="32"/>
      <c r="D156" s="39" t="s">
        <v>85</v>
      </c>
      <c r="E156" s="39">
        <v>0</v>
      </c>
      <c r="F156" s="39">
        <v>0</v>
      </c>
      <c r="G156" s="39">
        <v>0</v>
      </c>
      <c r="H156" s="39"/>
      <c r="I156" s="39">
        <f>$H154/18</f>
        <v>47777.77777777778</v>
      </c>
      <c r="J156" s="39">
        <f aca="true" t="shared" si="92" ref="J156:Z156">$H154/18</f>
        <v>47777.77777777778</v>
      </c>
      <c r="K156" s="39">
        <f t="shared" si="92"/>
        <v>47777.77777777778</v>
      </c>
      <c r="L156" s="39">
        <f t="shared" si="92"/>
        <v>47777.77777777778</v>
      </c>
      <c r="M156" s="39">
        <f t="shared" si="92"/>
        <v>47777.77777777778</v>
      </c>
      <c r="N156" s="39">
        <f t="shared" si="92"/>
        <v>47777.77777777778</v>
      </c>
      <c r="O156" s="39">
        <f t="shared" si="92"/>
        <v>47777.77777777778</v>
      </c>
      <c r="P156" s="39">
        <f t="shared" si="92"/>
        <v>47777.77777777778</v>
      </c>
      <c r="Q156" s="39">
        <f t="shared" si="92"/>
        <v>47777.77777777778</v>
      </c>
      <c r="R156" s="39">
        <f t="shared" si="92"/>
        <v>47777.77777777778</v>
      </c>
      <c r="S156" s="39">
        <f t="shared" si="92"/>
        <v>47777.77777777778</v>
      </c>
      <c r="T156" s="39">
        <f t="shared" si="92"/>
        <v>47777.77777777778</v>
      </c>
      <c r="U156" s="39">
        <f t="shared" si="92"/>
        <v>47777.77777777778</v>
      </c>
      <c r="V156" s="39">
        <f t="shared" si="92"/>
        <v>47777.77777777778</v>
      </c>
      <c r="W156" s="39">
        <f t="shared" si="92"/>
        <v>47777.77777777778</v>
      </c>
      <c r="X156" s="39">
        <f t="shared" si="92"/>
        <v>47777.77777777778</v>
      </c>
      <c r="Y156" s="39">
        <f t="shared" si="92"/>
        <v>47777.77777777778</v>
      </c>
      <c r="Z156" s="39">
        <f t="shared" si="92"/>
        <v>47777.77777777778</v>
      </c>
      <c r="AA156" s="39">
        <f>SUM(E156:Z156)</f>
        <v>859999.9999999998</v>
      </c>
    </row>
    <row r="157" spans="2:27" ht="15">
      <c r="B157" s="32"/>
      <c r="C157" s="32"/>
      <c r="D157" s="39" t="s">
        <v>86</v>
      </c>
      <c r="E157" s="39">
        <v>0</v>
      </c>
      <c r="F157" s="39">
        <f>F155+F156</f>
        <v>0</v>
      </c>
      <c r="G157" s="39">
        <f aca="true" t="shared" si="93" ref="G157:Z157">G155+G156</f>
        <v>1612.5</v>
      </c>
      <c r="H157" s="39">
        <f t="shared" si="93"/>
        <v>6450</v>
      </c>
      <c r="I157" s="39">
        <f t="shared" si="93"/>
        <v>58527.77777777778</v>
      </c>
      <c r="J157" s="39">
        <f t="shared" si="93"/>
        <v>59961.11111111112</v>
      </c>
      <c r="K157" s="39">
        <f t="shared" si="93"/>
        <v>61155.55555555556</v>
      </c>
      <c r="L157" s="39">
        <f t="shared" si="93"/>
        <v>62111.11111111112</v>
      </c>
      <c r="M157" s="39">
        <f t="shared" si="93"/>
        <v>62827.77777777778</v>
      </c>
      <c r="N157" s="39">
        <f t="shared" si="93"/>
        <v>63305.55555555556</v>
      </c>
      <c r="O157" s="39">
        <f t="shared" si="93"/>
        <v>63544.44444444445</v>
      </c>
      <c r="P157" s="39">
        <f t="shared" si="93"/>
        <v>63544.44444444445</v>
      </c>
      <c r="Q157" s="39">
        <f t="shared" si="93"/>
        <v>63305.55555555556</v>
      </c>
      <c r="R157" s="39">
        <f t="shared" si="93"/>
        <v>62827.77777777779</v>
      </c>
      <c r="S157" s="39">
        <f t="shared" si="93"/>
        <v>62111.111111111124</v>
      </c>
      <c r="T157" s="39">
        <f t="shared" si="93"/>
        <v>61155.55555555557</v>
      </c>
      <c r="U157" s="39">
        <f t="shared" si="93"/>
        <v>59961.111111111124</v>
      </c>
      <c r="V157" s="39">
        <f t="shared" si="93"/>
        <v>58527.777777777796</v>
      </c>
      <c r="W157" s="39">
        <f t="shared" si="93"/>
        <v>56855.55555555558</v>
      </c>
      <c r="X157" s="39">
        <f t="shared" si="93"/>
        <v>54944.44444444447</v>
      </c>
      <c r="Y157" s="39">
        <f t="shared" si="93"/>
        <v>52794.44444444447</v>
      </c>
      <c r="Z157" s="39">
        <f t="shared" si="93"/>
        <v>50405.55555555558</v>
      </c>
      <c r="AA157" s="40">
        <f>SUM(E157:Z157)</f>
        <v>1085929.166666667</v>
      </c>
    </row>
    <row r="158" spans="2:27" ht="15">
      <c r="B158" s="32" t="s">
        <v>87</v>
      </c>
      <c r="C158" s="39">
        <f>C153+220000</f>
        <v>1080000</v>
      </c>
      <c r="D158" s="39" t="s">
        <v>88</v>
      </c>
      <c r="E158" s="39"/>
      <c r="F158" s="39"/>
      <c r="G158" s="39"/>
      <c r="H158" s="39">
        <f>$C$158*0.65*0.03</f>
        <v>21060</v>
      </c>
      <c r="I158" s="39">
        <f aca="true" t="shared" si="94" ref="I158:Z158">$C$158*0.65*0.03</f>
        <v>21060</v>
      </c>
      <c r="J158" s="39">
        <f t="shared" si="94"/>
        <v>21060</v>
      </c>
      <c r="K158" s="39">
        <f t="shared" si="94"/>
        <v>21060</v>
      </c>
      <c r="L158" s="39">
        <f t="shared" si="94"/>
        <v>21060</v>
      </c>
      <c r="M158" s="39">
        <f t="shared" si="94"/>
        <v>21060</v>
      </c>
      <c r="N158" s="39">
        <f t="shared" si="94"/>
        <v>21060</v>
      </c>
      <c r="O158" s="39">
        <f t="shared" si="94"/>
        <v>21060</v>
      </c>
      <c r="P158" s="39">
        <f t="shared" si="94"/>
        <v>21060</v>
      </c>
      <c r="Q158" s="39">
        <f t="shared" si="94"/>
        <v>21060</v>
      </c>
      <c r="R158" s="39">
        <f t="shared" si="94"/>
        <v>21060</v>
      </c>
      <c r="S158" s="39">
        <f t="shared" si="94"/>
        <v>21060</v>
      </c>
      <c r="T158" s="39">
        <f t="shared" si="94"/>
        <v>21060</v>
      </c>
      <c r="U158" s="39">
        <f t="shared" si="94"/>
        <v>21060</v>
      </c>
      <c r="V158" s="39">
        <f t="shared" si="94"/>
        <v>21060</v>
      </c>
      <c r="W158" s="39">
        <f t="shared" si="94"/>
        <v>21060</v>
      </c>
      <c r="X158" s="39">
        <f t="shared" si="94"/>
        <v>21060</v>
      </c>
      <c r="Y158" s="39">
        <f t="shared" si="94"/>
        <v>21060</v>
      </c>
      <c r="Z158" s="39">
        <f t="shared" si="94"/>
        <v>21060</v>
      </c>
      <c r="AA158" s="40">
        <f>SUM(E158:Z158)</f>
        <v>400140</v>
      </c>
    </row>
    <row r="159" spans="2:27" ht="15">
      <c r="B159" s="32"/>
      <c r="C159" s="32"/>
      <c r="D159" s="40" t="s">
        <v>80</v>
      </c>
      <c r="E159" s="40">
        <f>SUM(E157:E158)</f>
        <v>0</v>
      </c>
      <c r="F159" s="40">
        <f aca="true" t="shared" si="95" ref="F159:Z159">SUM(F157:F158)</f>
        <v>0</v>
      </c>
      <c r="G159" s="40">
        <f t="shared" si="95"/>
        <v>1612.5</v>
      </c>
      <c r="H159" s="40">
        <f t="shared" si="95"/>
        <v>27510</v>
      </c>
      <c r="I159" s="40">
        <f t="shared" si="95"/>
        <v>79587.77777777778</v>
      </c>
      <c r="J159" s="40">
        <f t="shared" si="95"/>
        <v>81021.11111111112</v>
      </c>
      <c r="K159" s="40">
        <f t="shared" si="95"/>
        <v>82215.55555555556</v>
      </c>
      <c r="L159" s="40">
        <f t="shared" si="95"/>
        <v>83171.11111111112</v>
      </c>
      <c r="M159" s="40">
        <f t="shared" si="95"/>
        <v>83887.77777777778</v>
      </c>
      <c r="N159" s="40">
        <f t="shared" si="95"/>
        <v>84365.55555555556</v>
      </c>
      <c r="O159" s="40">
        <f t="shared" si="95"/>
        <v>84604.44444444445</v>
      </c>
      <c r="P159" s="40">
        <f t="shared" si="95"/>
        <v>84604.44444444445</v>
      </c>
      <c r="Q159" s="40">
        <f t="shared" si="95"/>
        <v>84365.55555555556</v>
      </c>
      <c r="R159" s="40">
        <f t="shared" si="95"/>
        <v>83887.77777777778</v>
      </c>
      <c r="S159" s="40">
        <f t="shared" si="95"/>
        <v>83171.11111111112</v>
      </c>
      <c r="T159" s="40">
        <f t="shared" si="95"/>
        <v>82215.55555555556</v>
      </c>
      <c r="U159" s="40">
        <f t="shared" si="95"/>
        <v>81021.11111111112</v>
      </c>
      <c r="V159" s="40">
        <f t="shared" si="95"/>
        <v>79587.7777777778</v>
      </c>
      <c r="W159" s="40">
        <f t="shared" si="95"/>
        <v>77915.55555555558</v>
      </c>
      <c r="X159" s="40">
        <f t="shared" si="95"/>
        <v>76004.44444444447</v>
      </c>
      <c r="Y159" s="40">
        <f t="shared" si="95"/>
        <v>73854.44444444447</v>
      </c>
      <c r="Z159" s="40">
        <f t="shared" si="95"/>
        <v>71465.55555555558</v>
      </c>
      <c r="AA159" s="40">
        <f>SUM(AA157:AA157)</f>
        <v>1085929.166666667</v>
      </c>
    </row>
    <row r="161" spans="1:27" ht="15">
      <c r="A161" t="s">
        <v>33</v>
      </c>
      <c r="B161" s="38" t="s">
        <v>19</v>
      </c>
      <c r="C161" s="39">
        <v>2380000</v>
      </c>
      <c r="D161" s="39" t="s">
        <v>57</v>
      </c>
      <c r="E161" s="39">
        <v>0</v>
      </c>
      <c r="F161" s="39">
        <f>0.25*C161</f>
        <v>595000</v>
      </c>
      <c r="G161" s="39">
        <f>0.5*C161</f>
        <v>1190000</v>
      </c>
      <c r="H161" s="39">
        <f>0.25*C161</f>
        <v>595000</v>
      </c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</row>
    <row r="162" spans="2:27" ht="15">
      <c r="B162" s="32"/>
      <c r="C162" s="32"/>
      <c r="D162" s="39" t="s">
        <v>83</v>
      </c>
      <c r="E162" s="39">
        <v>0</v>
      </c>
      <c r="F162" s="39">
        <f>F161</f>
        <v>595000</v>
      </c>
      <c r="G162" s="39">
        <f>F161+G161</f>
        <v>1785000</v>
      </c>
      <c r="H162" s="39">
        <f>F161+G161+H161</f>
        <v>2380000</v>
      </c>
      <c r="I162" s="39">
        <f>H162-$H162/18</f>
        <v>2247777.777777778</v>
      </c>
      <c r="J162" s="39">
        <f aca="true" t="shared" si="96" ref="J162:Z162">I162-$H162/18</f>
        <v>2115555.555555556</v>
      </c>
      <c r="K162" s="39">
        <f t="shared" si="96"/>
        <v>1983333.3333333337</v>
      </c>
      <c r="L162" s="39">
        <f t="shared" si="96"/>
        <v>1851111.1111111115</v>
      </c>
      <c r="M162" s="39">
        <f t="shared" si="96"/>
        <v>1718888.8888888892</v>
      </c>
      <c r="N162" s="39">
        <f t="shared" si="96"/>
        <v>1586666.666666667</v>
      </c>
      <c r="O162" s="39">
        <f t="shared" si="96"/>
        <v>1454444.4444444447</v>
      </c>
      <c r="P162" s="39">
        <f t="shared" si="96"/>
        <v>1322222.2222222225</v>
      </c>
      <c r="Q162" s="39">
        <f t="shared" si="96"/>
        <v>1190000.0000000002</v>
      </c>
      <c r="R162" s="39">
        <f t="shared" si="96"/>
        <v>1057777.777777778</v>
      </c>
      <c r="S162" s="39">
        <f t="shared" si="96"/>
        <v>925555.5555555557</v>
      </c>
      <c r="T162" s="39">
        <f t="shared" si="96"/>
        <v>793333.3333333335</v>
      </c>
      <c r="U162" s="39">
        <f t="shared" si="96"/>
        <v>661111.1111111112</v>
      </c>
      <c r="V162" s="39">
        <f t="shared" si="96"/>
        <v>528888.888888889</v>
      </c>
      <c r="W162" s="39">
        <f t="shared" si="96"/>
        <v>396666.66666666674</v>
      </c>
      <c r="X162" s="39">
        <f t="shared" si="96"/>
        <v>264444.4444444445</v>
      </c>
      <c r="Y162" s="39">
        <f t="shared" si="96"/>
        <v>132222.22222222228</v>
      </c>
      <c r="Z162" s="39">
        <f t="shared" si="96"/>
        <v>0</v>
      </c>
      <c r="AA162" s="39"/>
    </row>
    <row r="163" spans="2:27" ht="15">
      <c r="B163" s="32"/>
      <c r="C163" s="32"/>
      <c r="D163" s="39" t="s">
        <v>84</v>
      </c>
      <c r="E163" s="39">
        <v>0</v>
      </c>
      <c r="F163" s="39">
        <f>$E$6*E162</f>
        <v>0</v>
      </c>
      <c r="G163" s="39">
        <f>F162*$F$6</f>
        <v>4462.5</v>
      </c>
      <c r="H163" s="39">
        <f>G162*$G$6</f>
        <v>17850</v>
      </c>
      <c r="I163" s="39">
        <f>H162*$H$6</f>
        <v>29750</v>
      </c>
      <c r="J163" s="39">
        <f>I162*$I$6</f>
        <v>33716.66666666667</v>
      </c>
      <c r="K163" s="39">
        <f>J162*$J$6</f>
        <v>37022.22222222223</v>
      </c>
      <c r="L163" s="39">
        <f>K162*$K$6</f>
        <v>39666.66666666668</v>
      </c>
      <c r="M163" s="39">
        <f>L162*$L$6</f>
        <v>41650.00000000001</v>
      </c>
      <c r="N163" s="39">
        <f>M162*$M$6</f>
        <v>42972.222222222226</v>
      </c>
      <c r="O163" s="39">
        <f>N162*$N$6</f>
        <v>43633.333333333336</v>
      </c>
      <c r="P163" s="39">
        <f>O162*$O$6</f>
        <v>43633.333333333336</v>
      </c>
      <c r="Q163" s="39">
        <f>P162*$P$6</f>
        <v>42972.222222222226</v>
      </c>
      <c r="R163" s="39">
        <f>Q162*$Q$6</f>
        <v>41650.00000000001</v>
      </c>
      <c r="S163" s="39">
        <f>R162*$R$6</f>
        <v>39666.66666666667</v>
      </c>
      <c r="T163" s="39">
        <f>S162*$S$6</f>
        <v>37022.22222222223</v>
      </c>
      <c r="U163" s="39">
        <f>T162*$T$6</f>
        <v>33716.66666666668</v>
      </c>
      <c r="V163" s="39">
        <f>U162*$U$6</f>
        <v>29750.00000000001</v>
      </c>
      <c r="W163" s="39">
        <f>V162*$V$6</f>
        <v>25122.22222222223</v>
      </c>
      <c r="X163" s="39">
        <f>W162*$W$6</f>
        <v>19833.33333333334</v>
      </c>
      <c r="Y163" s="39">
        <f>X162*$X$6</f>
        <v>13883.33333333334</v>
      </c>
      <c r="Z163" s="39">
        <f>Y162*$Y$6</f>
        <v>7272.222222222227</v>
      </c>
      <c r="AA163" s="39">
        <f>SUM(E163:Z163)</f>
        <v>625245.8333333335</v>
      </c>
    </row>
    <row r="164" spans="2:27" ht="15">
      <c r="B164" s="32"/>
      <c r="C164" s="32"/>
      <c r="D164" s="39" t="s">
        <v>85</v>
      </c>
      <c r="E164" s="39">
        <v>0</v>
      </c>
      <c r="F164" s="39">
        <v>0</v>
      </c>
      <c r="G164" s="39">
        <v>0</v>
      </c>
      <c r="H164" s="39"/>
      <c r="I164" s="39">
        <f>$H162/18</f>
        <v>132222.22222222222</v>
      </c>
      <c r="J164" s="39">
        <f aca="true" t="shared" si="97" ref="J164:Z164">$H162/18</f>
        <v>132222.22222222222</v>
      </c>
      <c r="K164" s="39">
        <f t="shared" si="97"/>
        <v>132222.22222222222</v>
      </c>
      <c r="L164" s="39">
        <f t="shared" si="97"/>
        <v>132222.22222222222</v>
      </c>
      <c r="M164" s="39">
        <f t="shared" si="97"/>
        <v>132222.22222222222</v>
      </c>
      <c r="N164" s="39">
        <f t="shared" si="97"/>
        <v>132222.22222222222</v>
      </c>
      <c r="O164" s="39">
        <f t="shared" si="97"/>
        <v>132222.22222222222</v>
      </c>
      <c r="P164" s="39">
        <f t="shared" si="97"/>
        <v>132222.22222222222</v>
      </c>
      <c r="Q164" s="39">
        <f t="shared" si="97"/>
        <v>132222.22222222222</v>
      </c>
      <c r="R164" s="39">
        <f t="shared" si="97"/>
        <v>132222.22222222222</v>
      </c>
      <c r="S164" s="39">
        <f t="shared" si="97"/>
        <v>132222.22222222222</v>
      </c>
      <c r="T164" s="39">
        <f t="shared" si="97"/>
        <v>132222.22222222222</v>
      </c>
      <c r="U164" s="39">
        <f t="shared" si="97"/>
        <v>132222.22222222222</v>
      </c>
      <c r="V164" s="39">
        <f t="shared" si="97"/>
        <v>132222.22222222222</v>
      </c>
      <c r="W164" s="39">
        <f t="shared" si="97"/>
        <v>132222.22222222222</v>
      </c>
      <c r="X164" s="39">
        <f t="shared" si="97"/>
        <v>132222.22222222222</v>
      </c>
      <c r="Y164" s="39">
        <f t="shared" si="97"/>
        <v>132222.22222222222</v>
      </c>
      <c r="Z164" s="39">
        <f t="shared" si="97"/>
        <v>132222.22222222222</v>
      </c>
      <c r="AA164" s="39">
        <f>SUM(E164:Z164)</f>
        <v>2379999.9999999995</v>
      </c>
    </row>
    <row r="165" spans="2:27" ht="15">
      <c r="B165" s="32"/>
      <c r="C165" s="32"/>
      <c r="D165" s="39" t="s">
        <v>86</v>
      </c>
      <c r="E165" s="39">
        <v>0</v>
      </c>
      <c r="F165" s="39">
        <f>F163+F164</f>
        <v>0</v>
      </c>
      <c r="G165" s="39">
        <f aca="true" t="shared" si="98" ref="G165:Z165">G163+G164</f>
        <v>4462.5</v>
      </c>
      <c r="H165" s="39">
        <f t="shared" si="98"/>
        <v>17850</v>
      </c>
      <c r="I165" s="39">
        <f t="shared" si="98"/>
        <v>161972.22222222222</v>
      </c>
      <c r="J165" s="39">
        <f t="shared" si="98"/>
        <v>165938.88888888888</v>
      </c>
      <c r="K165" s="39">
        <f t="shared" si="98"/>
        <v>169244.44444444444</v>
      </c>
      <c r="L165" s="39">
        <f t="shared" si="98"/>
        <v>171888.8888888889</v>
      </c>
      <c r="M165" s="39">
        <f t="shared" si="98"/>
        <v>173872.22222222222</v>
      </c>
      <c r="N165" s="39">
        <f t="shared" si="98"/>
        <v>175194.44444444444</v>
      </c>
      <c r="O165" s="39">
        <f t="shared" si="98"/>
        <v>175855.55555555556</v>
      </c>
      <c r="P165" s="39">
        <f t="shared" si="98"/>
        <v>175855.55555555556</v>
      </c>
      <c r="Q165" s="39">
        <f t="shared" si="98"/>
        <v>175194.44444444444</v>
      </c>
      <c r="R165" s="39">
        <f t="shared" si="98"/>
        <v>173872.22222222222</v>
      </c>
      <c r="S165" s="39">
        <f t="shared" si="98"/>
        <v>171888.88888888888</v>
      </c>
      <c r="T165" s="39">
        <f t="shared" si="98"/>
        <v>169244.44444444444</v>
      </c>
      <c r="U165" s="39">
        <f t="shared" si="98"/>
        <v>165938.8888888889</v>
      </c>
      <c r="V165" s="39">
        <f t="shared" si="98"/>
        <v>161972.22222222222</v>
      </c>
      <c r="W165" s="39">
        <f t="shared" si="98"/>
        <v>157344.44444444444</v>
      </c>
      <c r="X165" s="39">
        <f t="shared" si="98"/>
        <v>152055.55555555556</v>
      </c>
      <c r="Y165" s="39">
        <f t="shared" si="98"/>
        <v>146105.55555555556</v>
      </c>
      <c r="Z165" s="39">
        <f t="shared" si="98"/>
        <v>139494.44444444444</v>
      </c>
      <c r="AA165" s="40">
        <f>SUM(E165:Z165)</f>
        <v>3005245.8333333335</v>
      </c>
    </row>
    <row r="166" spans="2:27" ht="15">
      <c r="B166" s="32" t="s">
        <v>87</v>
      </c>
      <c r="C166" s="39">
        <f>C161+620000</f>
        <v>3000000</v>
      </c>
      <c r="D166" s="39" t="s">
        <v>88</v>
      </c>
      <c r="E166" s="39"/>
      <c r="F166" s="39"/>
      <c r="G166" s="39"/>
      <c r="H166" s="39">
        <f>$C$166*0.65*0.03</f>
        <v>58500</v>
      </c>
      <c r="I166" s="39">
        <f aca="true" t="shared" si="99" ref="I166:Z166">$C$166*0.65*0.03</f>
        <v>58500</v>
      </c>
      <c r="J166" s="39">
        <f t="shared" si="99"/>
        <v>58500</v>
      </c>
      <c r="K166" s="39">
        <f t="shared" si="99"/>
        <v>58500</v>
      </c>
      <c r="L166" s="39">
        <f t="shared" si="99"/>
        <v>58500</v>
      </c>
      <c r="M166" s="39">
        <f t="shared" si="99"/>
        <v>58500</v>
      </c>
      <c r="N166" s="39">
        <f t="shared" si="99"/>
        <v>58500</v>
      </c>
      <c r="O166" s="39">
        <f t="shared" si="99"/>
        <v>58500</v>
      </c>
      <c r="P166" s="39">
        <f t="shared" si="99"/>
        <v>58500</v>
      </c>
      <c r="Q166" s="39">
        <f t="shared" si="99"/>
        <v>58500</v>
      </c>
      <c r="R166" s="39">
        <f t="shared" si="99"/>
        <v>58500</v>
      </c>
      <c r="S166" s="39">
        <f t="shared" si="99"/>
        <v>58500</v>
      </c>
      <c r="T166" s="39">
        <f t="shared" si="99"/>
        <v>58500</v>
      </c>
      <c r="U166" s="39">
        <f t="shared" si="99"/>
        <v>58500</v>
      </c>
      <c r="V166" s="39">
        <f t="shared" si="99"/>
        <v>58500</v>
      </c>
      <c r="W166" s="39">
        <f t="shared" si="99"/>
        <v>58500</v>
      </c>
      <c r="X166" s="39">
        <f t="shared" si="99"/>
        <v>58500</v>
      </c>
      <c r="Y166" s="39">
        <f t="shared" si="99"/>
        <v>58500</v>
      </c>
      <c r="Z166" s="39">
        <f t="shared" si="99"/>
        <v>58500</v>
      </c>
      <c r="AA166" s="40">
        <f>SUM(E166:Z166)</f>
        <v>1111500</v>
      </c>
    </row>
    <row r="167" spans="2:27" ht="15">
      <c r="B167" s="32"/>
      <c r="C167" s="32"/>
      <c r="D167" s="40" t="s">
        <v>80</v>
      </c>
      <c r="E167" s="40">
        <f>SUM(E165:E166)</f>
        <v>0</v>
      </c>
      <c r="F167" s="40">
        <f aca="true" t="shared" si="100" ref="F167:Z167">SUM(F165:F166)</f>
        <v>0</v>
      </c>
      <c r="G167" s="40">
        <f t="shared" si="100"/>
        <v>4462.5</v>
      </c>
      <c r="H167" s="40">
        <f t="shared" si="100"/>
        <v>76350</v>
      </c>
      <c r="I167" s="40">
        <f t="shared" si="100"/>
        <v>220472.22222222222</v>
      </c>
      <c r="J167" s="40">
        <f t="shared" si="100"/>
        <v>224438.88888888888</v>
      </c>
      <c r="K167" s="40">
        <f t="shared" si="100"/>
        <v>227744.44444444444</v>
      </c>
      <c r="L167" s="40">
        <f t="shared" si="100"/>
        <v>230388.8888888889</v>
      </c>
      <c r="M167" s="40">
        <f t="shared" si="100"/>
        <v>232372.22222222222</v>
      </c>
      <c r="N167" s="40">
        <f t="shared" si="100"/>
        <v>233694.44444444444</v>
      </c>
      <c r="O167" s="40">
        <f t="shared" si="100"/>
        <v>234355.55555555556</v>
      </c>
      <c r="P167" s="40">
        <f t="shared" si="100"/>
        <v>234355.55555555556</v>
      </c>
      <c r="Q167" s="40">
        <f t="shared" si="100"/>
        <v>233694.44444444444</v>
      </c>
      <c r="R167" s="40">
        <f t="shared" si="100"/>
        <v>232372.22222222222</v>
      </c>
      <c r="S167" s="40">
        <f t="shared" si="100"/>
        <v>230388.88888888888</v>
      </c>
      <c r="T167" s="40">
        <f t="shared" si="100"/>
        <v>227744.44444444444</v>
      </c>
      <c r="U167" s="40">
        <f t="shared" si="100"/>
        <v>224438.8888888889</v>
      </c>
      <c r="V167" s="40">
        <f t="shared" si="100"/>
        <v>220472.22222222222</v>
      </c>
      <c r="W167" s="40">
        <f t="shared" si="100"/>
        <v>215844.44444444444</v>
      </c>
      <c r="X167" s="40">
        <f t="shared" si="100"/>
        <v>210555.55555555556</v>
      </c>
      <c r="Y167" s="40">
        <f t="shared" si="100"/>
        <v>204605.55555555556</v>
      </c>
      <c r="Z167" s="40">
        <f t="shared" si="100"/>
        <v>197994.44444444444</v>
      </c>
      <c r="AA167" s="40">
        <f>SUM(AA165:AA165)</f>
        <v>3005245.8333333335</v>
      </c>
    </row>
    <row r="169" spans="1:27" ht="15">
      <c r="A169" t="s">
        <v>32</v>
      </c>
      <c r="B169" s="38" t="s">
        <v>20</v>
      </c>
      <c r="C169" s="39">
        <v>1570000</v>
      </c>
      <c r="D169" s="39" t="s">
        <v>57</v>
      </c>
      <c r="E169" s="39">
        <v>0</v>
      </c>
      <c r="F169" s="39">
        <f>0.25*C169</f>
        <v>392500</v>
      </c>
      <c r="G169" s="39">
        <f>0.5*C169</f>
        <v>785000</v>
      </c>
      <c r="H169" s="39">
        <f>0.25*C169</f>
        <v>392500</v>
      </c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</row>
    <row r="170" spans="2:27" ht="15">
      <c r="B170" s="32"/>
      <c r="C170" s="32"/>
      <c r="D170" s="39" t="s">
        <v>83</v>
      </c>
      <c r="E170" s="39">
        <v>0</v>
      </c>
      <c r="F170" s="39">
        <f>F169</f>
        <v>392500</v>
      </c>
      <c r="G170" s="39">
        <f>F169+G169</f>
        <v>1177500</v>
      </c>
      <c r="H170" s="39">
        <f>F169+G169+H169</f>
        <v>1570000</v>
      </c>
      <c r="I170" s="39">
        <f>H170-$H170/18</f>
        <v>1482777.7777777778</v>
      </c>
      <c r="J170" s="39">
        <f aca="true" t="shared" si="101" ref="J170:Z170">I170-$H170/18</f>
        <v>1395555.5555555555</v>
      </c>
      <c r="K170" s="39">
        <f t="shared" si="101"/>
        <v>1308333.3333333333</v>
      </c>
      <c r="L170" s="39">
        <f t="shared" si="101"/>
        <v>1221111.111111111</v>
      </c>
      <c r="M170" s="39">
        <f t="shared" si="101"/>
        <v>1133888.8888888888</v>
      </c>
      <c r="N170" s="39">
        <f t="shared" si="101"/>
        <v>1046666.6666666665</v>
      </c>
      <c r="O170" s="39">
        <f t="shared" si="101"/>
        <v>959444.4444444443</v>
      </c>
      <c r="P170" s="39">
        <f t="shared" si="101"/>
        <v>872222.222222222</v>
      </c>
      <c r="Q170" s="39">
        <f t="shared" si="101"/>
        <v>784999.9999999998</v>
      </c>
      <c r="R170" s="39">
        <f t="shared" si="101"/>
        <v>697777.7777777775</v>
      </c>
      <c r="S170" s="39">
        <f t="shared" si="101"/>
        <v>610555.5555555553</v>
      </c>
      <c r="T170" s="39">
        <f t="shared" si="101"/>
        <v>523333.333333333</v>
      </c>
      <c r="U170" s="39">
        <f t="shared" si="101"/>
        <v>436111.1111111108</v>
      </c>
      <c r="V170" s="39">
        <f t="shared" si="101"/>
        <v>348888.8888888885</v>
      </c>
      <c r="W170" s="39">
        <f t="shared" si="101"/>
        <v>261666.6666666663</v>
      </c>
      <c r="X170" s="39">
        <f t="shared" si="101"/>
        <v>174444.4444444441</v>
      </c>
      <c r="Y170" s="39">
        <f t="shared" si="101"/>
        <v>87222.22222222187</v>
      </c>
      <c r="Z170" s="39">
        <f t="shared" si="101"/>
        <v>-3.4924596548080444E-10</v>
      </c>
      <c r="AA170" s="39"/>
    </row>
    <row r="171" spans="2:27" ht="15">
      <c r="B171" s="32"/>
      <c r="C171" s="32"/>
      <c r="D171" s="39" t="s">
        <v>84</v>
      </c>
      <c r="E171" s="39">
        <v>0</v>
      </c>
      <c r="F171" s="39">
        <f>$E$6*E170</f>
        <v>0</v>
      </c>
      <c r="G171" s="39">
        <f>F170*$F$6</f>
        <v>2943.75</v>
      </c>
      <c r="H171" s="39">
        <f>G170*$G$6</f>
        <v>11775</v>
      </c>
      <c r="I171" s="39">
        <f>H170*$H$6</f>
        <v>19625</v>
      </c>
      <c r="J171" s="39">
        <f>I170*$I$6</f>
        <v>22241.666666666668</v>
      </c>
      <c r="K171" s="39">
        <f>J170*$J$6</f>
        <v>24422.222222222223</v>
      </c>
      <c r="L171" s="39">
        <f>K170*$K$6</f>
        <v>26166.666666666664</v>
      </c>
      <c r="M171" s="39">
        <f>L170*$L$6</f>
        <v>27474.999999999996</v>
      </c>
      <c r="N171" s="39">
        <f>M170*$M$6</f>
        <v>28347.222222222215</v>
      </c>
      <c r="O171" s="39">
        <f>N170*$N$6</f>
        <v>28783.333333333325</v>
      </c>
      <c r="P171" s="39">
        <f>O170*$O$6</f>
        <v>28783.333333333325</v>
      </c>
      <c r="Q171" s="39">
        <f>P170*$P$6</f>
        <v>28347.22222222221</v>
      </c>
      <c r="R171" s="39">
        <f>Q170*$Q$6</f>
        <v>27474.99999999999</v>
      </c>
      <c r="S171" s="39">
        <f>R170*$R$6</f>
        <v>26166.666666666657</v>
      </c>
      <c r="T171" s="39">
        <f>S170*$S$6</f>
        <v>24422.22222222221</v>
      </c>
      <c r="U171" s="39">
        <f>T170*$T$6</f>
        <v>22241.666666666653</v>
      </c>
      <c r="V171" s="39">
        <f>U170*$U$6</f>
        <v>19624.999999999985</v>
      </c>
      <c r="W171" s="39">
        <f>V170*$V$6</f>
        <v>16572.222222222208</v>
      </c>
      <c r="X171" s="39">
        <f>W170*$W$6</f>
        <v>13083.333333333318</v>
      </c>
      <c r="Y171" s="39">
        <f>X170*$X$6</f>
        <v>9158.333333333318</v>
      </c>
      <c r="Z171" s="39">
        <f>Y170*$Y$6</f>
        <v>4797.222222222204</v>
      </c>
      <c r="AA171" s="39">
        <f>SUM(E171:Z171)</f>
        <v>412452.0833333331</v>
      </c>
    </row>
    <row r="172" spans="2:27" ht="15">
      <c r="B172" s="32"/>
      <c r="C172" s="32"/>
      <c r="D172" s="39" t="s">
        <v>85</v>
      </c>
      <c r="E172" s="39">
        <v>0</v>
      </c>
      <c r="F172" s="39">
        <v>0</v>
      </c>
      <c r="G172" s="39">
        <v>0</v>
      </c>
      <c r="H172" s="39"/>
      <c r="I172" s="39">
        <f>$H170/18</f>
        <v>87222.22222222222</v>
      </c>
      <c r="J172" s="39">
        <f aca="true" t="shared" si="102" ref="J172:Z172">$H170/18</f>
        <v>87222.22222222222</v>
      </c>
      <c r="K172" s="39">
        <f t="shared" si="102"/>
        <v>87222.22222222222</v>
      </c>
      <c r="L172" s="39">
        <f t="shared" si="102"/>
        <v>87222.22222222222</v>
      </c>
      <c r="M172" s="39">
        <f t="shared" si="102"/>
        <v>87222.22222222222</v>
      </c>
      <c r="N172" s="39">
        <f t="shared" si="102"/>
        <v>87222.22222222222</v>
      </c>
      <c r="O172" s="39">
        <f t="shared" si="102"/>
        <v>87222.22222222222</v>
      </c>
      <c r="P172" s="39">
        <f t="shared" si="102"/>
        <v>87222.22222222222</v>
      </c>
      <c r="Q172" s="39">
        <f t="shared" si="102"/>
        <v>87222.22222222222</v>
      </c>
      <c r="R172" s="39">
        <f t="shared" si="102"/>
        <v>87222.22222222222</v>
      </c>
      <c r="S172" s="39">
        <f t="shared" si="102"/>
        <v>87222.22222222222</v>
      </c>
      <c r="T172" s="39">
        <f t="shared" si="102"/>
        <v>87222.22222222222</v>
      </c>
      <c r="U172" s="39">
        <f t="shared" si="102"/>
        <v>87222.22222222222</v>
      </c>
      <c r="V172" s="39">
        <f t="shared" si="102"/>
        <v>87222.22222222222</v>
      </c>
      <c r="W172" s="39">
        <f t="shared" si="102"/>
        <v>87222.22222222222</v>
      </c>
      <c r="X172" s="39">
        <f t="shared" si="102"/>
        <v>87222.22222222222</v>
      </c>
      <c r="Y172" s="39">
        <f t="shared" si="102"/>
        <v>87222.22222222222</v>
      </c>
      <c r="Z172" s="39">
        <f t="shared" si="102"/>
        <v>87222.22222222222</v>
      </c>
      <c r="AA172" s="39">
        <f>SUM(E172:Z172)</f>
        <v>1570000.0000000002</v>
      </c>
    </row>
    <row r="173" spans="2:27" ht="15">
      <c r="B173" s="32"/>
      <c r="C173" s="32"/>
      <c r="D173" s="39" t="s">
        <v>86</v>
      </c>
      <c r="E173" s="39">
        <v>0</v>
      </c>
      <c r="F173" s="39">
        <f>F171+F172</f>
        <v>0</v>
      </c>
      <c r="G173" s="39">
        <f aca="true" t="shared" si="103" ref="G173:Z173">G171+G172</f>
        <v>2943.75</v>
      </c>
      <c r="H173" s="39">
        <f t="shared" si="103"/>
        <v>11775</v>
      </c>
      <c r="I173" s="39">
        <f t="shared" si="103"/>
        <v>106847.22222222222</v>
      </c>
      <c r="J173" s="39">
        <f t="shared" si="103"/>
        <v>109463.88888888889</v>
      </c>
      <c r="K173" s="39">
        <f t="shared" si="103"/>
        <v>111644.44444444444</v>
      </c>
      <c r="L173" s="39">
        <f t="shared" si="103"/>
        <v>113388.88888888888</v>
      </c>
      <c r="M173" s="39">
        <f t="shared" si="103"/>
        <v>114697.22222222222</v>
      </c>
      <c r="N173" s="39">
        <f t="shared" si="103"/>
        <v>115569.44444444444</v>
      </c>
      <c r="O173" s="39">
        <f t="shared" si="103"/>
        <v>116005.55555555555</v>
      </c>
      <c r="P173" s="39">
        <f t="shared" si="103"/>
        <v>116005.55555555555</v>
      </c>
      <c r="Q173" s="39">
        <f t="shared" si="103"/>
        <v>115569.44444444444</v>
      </c>
      <c r="R173" s="39">
        <f t="shared" si="103"/>
        <v>114697.2222222222</v>
      </c>
      <c r="S173" s="39">
        <f t="shared" si="103"/>
        <v>113388.88888888888</v>
      </c>
      <c r="T173" s="39">
        <f t="shared" si="103"/>
        <v>111644.44444444444</v>
      </c>
      <c r="U173" s="39">
        <f t="shared" si="103"/>
        <v>109463.88888888888</v>
      </c>
      <c r="V173" s="39">
        <f t="shared" si="103"/>
        <v>106847.2222222222</v>
      </c>
      <c r="W173" s="39">
        <f t="shared" si="103"/>
        <v>103794.44444444442</v>
      </c>
      <c r="X173" s="39">
        <f t="shared" si="103"/>
        <v>100305.55555555553</v>
      </c>
      <c r="Y173" s="39">
        <f t="shared" si="103"/>
        <v>96380.55555555553</v>
      </c>
      <c r="Z173" s="39">
        <f t="shared" si="103"/>
        <v>92019.44444444442</v>
      </c>
      <c r="AA173" s="40">
        <f>SUM(E173:Z173)</f>
        <v>1982452.0833333333</v>
      </c>
    </row>
    <row r="174" spans="2:27" ht="15">
      <c r="B174" s="32" t="s">
        <v>87</v>
      </c>
      <c r="C174" s="39">
        <f>C169+510000</f>
        <v>2080000</v>
      </c>
      <c r="D174" s="39" t="s">
        <v>88</v>
      </c>
      <c r="E174" s="39"/>
      <c r="F174" s="39"/>
      <c r="G174" s="39"/>
      <c r="H174" s="39">
        <f>$C$174*0.65*0.03</f>
        <v>40560</v>
      </c>
      <c r="I174" s="39">
        <f aca="true" t="shared" si="104" ref="I174:Z174">$C$174*0.65*0.03</f>
        <v>40560</v>
      </c>
      <c r="J174" s="39">
        <f t="shared" si="104"/>
        <v>40560</v>
      </c>
      <c r="K174" s="39">
        <f t="shared" si="104"/>
        <v>40560</v>
      </c>
      <c r="L174" s="39">
        <f t="shared" si="104"/>
        <v>40560</v>
      </c>
      <c r="M174" s="39">
        <f t="shared" si="104"/>
        <v>40560</v>
      </c>
      <c r="N174" s="39">
        <f t="shared" si="104"/>
        <v>40560</v>
      </c>
      <c r="O174" s="39">
        <f t="shared" si="104"/>
        <v>40560</v>
      </c>
      <c r="P174" s="39">
        <f t="shared" si="104"/>
        <v>40560</v>
      </c>
      <c r="Q174" s="39">
        <f t="shared" si="104"/>
        <v>40560</v>
      </c>
      <c r="R174" s="39">
        <f t="shared" si="104"/>
        <v>40560</v>
      </c>
      <c r="S174" s="39">
        <f t="shared" si="104"/>
        <v>40560</v>
      </c>
      <c r="T174" s="39">
        <f t="shared" si="104"/>
        <v>40560</v>
      </c>
      <c r="U174" s="39">
        <f t="shared" si="104"/>
        <v>40560</v>
      </c>
      <c r="V174" s="39">
        <f t="shared" si="104"/>
        <v>40560</v>
      </c>
      <c r="W174" s="39">
        <f t="shared" si="104"/>
        <v>40560</v>
      </c>
      <c r="X174" s="39">
        <f t="shared" si="104"/>
        <v>40560</v>
      </c>
      <c r="Y174" s="39">
        <f t="shared" si="104"/>
        <v>40560</v>
      </c>
      <c r="Z174" s="39">
        <f t="shared" si="104"/>
        <v>40560</v>
      </c>
      <c r="AA174" s="40">
        <f>SUM(E174:Z174)</f>
        <v>770640</v>
      </c>
    </row>
    <row r="175" spans="2:27" ht="15">
      <c r="B175" s="32"/>
      <c r="C175" s="32"/>
      <c r="D175" s="40" t="s">
        <v>80</v>
      </c>
      <c r="E175" s="40">
        <f>SUM(E173:E174)</f>
        <v>0</v>
      </c>
      <c r="F175" s="40">
        <f aca="true" t="shared" si="105" ref="F175:Z175">SUM(F173:F174)</f>
        <v>0</v>
      </c>
      <c r="G175" s="40">
        <f t="shared" si="105"/>
        <v>2943.75</v>
      </c>
      <c r="H175" s="40">
        <f t="shared" si="105"/>
        <v>52335</v>
      </c>
      <c r="I175" s="40">
        <f t="shared" si="105"/>
        <v>147407.22222222222</v>
      </c>
      <c r="J175" s="40">
        <f t="shared" si="105"/>
        <v>150023.88888888888</v>
      </c>
      <c r="K175" s="40">
        <f t="shared" si="105"/>
        <v>152204.44444444444</v>
      </c>
      <c r="L175" s="40">
        <f t="shared" si="105"/>
        <v>153948.88888888888</v>
      </c>
      <c r="M175" s="40">
        <f t="shared" si="105"/>
        <v>155257.22222222222</v>
      </c>
      <c r="N175" s="40">
        <f t="shared" si="105"/>
        <v>156129.44444444444</v>
      </c>
      <c r="O175" s="40">
        <f t="shared" si="105"/>
        <v>156565.55555555556</v>
      </c>
      <c r="P175" s="40">
        <f t="shared" si="105"/>
        <v>156565.55555555556</v>
      </c>
      <c r="Q175" s="40">
        <f t="shared" si="105"/>
        <v>156129.44444444444</v>
      </c>
      <c r="R175" s="40">
        <f t="shared" si="105"/>
        <v>155257.2222222222</v>
      </c>
      <c r="S175" s="40">
        <f t="shared" si="105"/>
        <v>153948.88888888888</v>
      </c>
      <c r="T175" s="40">
        <f t="shared" si="105"/>
        <v>152204.44444444444</v>
      </c>
      <c r="U175" s="40">
        <f t="shared" si="105"/>
        <v>150023.88888888888</v>
      </c>
      <c r="V175" s="40">
        <f t="shared" si="105"/>
        <v>147407.2222222222</v>
      </c>
      <c r="W175" s="40">
        <f t="shared" si="105"/>
        <v>144354.44444444444</v>
      </c>
      <c r="X175" s="40">
        <f t="shared" si="105"/>
        <v>140865.55555555553</v>
      </c>
      <c r="Y175" s="40">
        <f t="shared" si="105"/>
        <v>136940.55555555553</v>
      </c>
      <c r="Z175" s="40">
        <f t="shared" si="105"/>
        <v>132579.44444444444</v>
      </c>
      <c r="AA175" s="40">
        <f>SUM(AA173:AA173)</f>
        <v>1982452.0833333333</v>
      </c>
    </row>
    <row r="177" spans="1:27" ht="15">
      <c r="A177" t="s">
        <v>34</v>
      </c>
      <c r="B177" s="38" t="s">
        <v>21</v>
      </c>
      <c r="C177" s="39">
        <v>1820000</v>
      </c>
      <c r="D177" s="39" t="s">
        <v>57</v>
      </c>
      <c r="E177" s="39">
        <v>0</v>
      </c>
      <c r="F177" s="39">
        <f>0.25*C177</f>
        <v>455000</v>
      </c>
      <c r="G177" s="39">
        <f>0.5*C177</f>
        <v>910000</v>
      </c>
      <c r="H177" s="39">
        <f>0.25*C177</f>
        <v>455000</v>
      </c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</row>
    <row r="178" spans="2:27" ht="15">
      <c r="B178" s="32"/>
      <c r="C178" s="32"/>
      <c r="D178" s="39" t="s">
        <v>83</v>
      </c>
      <c r="E178" s="39">
        <v>0</v>
      </c>
      <c r="F178" s="39">
        <f>F177</f>
        <v>455000</v>
      </c>
      <c r="G178" s="39">
        <f>F177+G177</f>
        <v>1365000</v>
      </c>
      <c r="H178" s="39">
        <f>F177+G177+H177</f>
        <v>1820000</v>
      </c>
      <c r="I178" s="39">
        <f>H178-$H178/18</f>
        <v>1718888.888888889</v>
      </c>
      <c r="J178" s="39">
        <f aca="true" t="shared" si="106" ref="J178:Z178">I178-$H178/18</f>
        <v>1617777.777777778</v>
      </c>
      <c r="K178" s="39">
        <f t="shared" si="106"/>
        <v>1516666.666666667</v>
      </c>
      <c r="L178" s="39">
        <f t="shared" si="106"/>
        <v>1415555.555555556</v>
      </c>
      <c r="M178" s="39">
        <f t="shared" si="106"/>
        <v>1314444.444444445</v>
      </c>
      <c r="N178" s="39">
        <f t="shared" si="106"/>
        <v>1213333.333333334</v>
      </c>
      <c r="O178" s="39">
        <f t="shared" si="106"/>
        <v>1112222.222222223</v>
      </c>
      <c r="P178" s="39">
        <f t="shared" si="106"/>
        <v>1011111.1111111118</v>
      </c>
      <c r="Q178" s="39">
        <f t="shared" si="106"/>
        <v>910000.0000000007</v>
      </c>
      <c r="R178" s="39">
        <f t="shared" si="106"/>
        <v>808888.8888888896</v>
      </c>
      <c r="S178" s="39">
        <f t="shared" si="106"/>
        <v>707777.7777777785</v>
      </c>
      <c r="T178" s="39">
        <f t="shared" si="106"/>
        <v>606666.6666666673</v>
      </c>
      <c r="U178" s="39">
        <f t="shared" si="106"/>
        <v>505555.5555555562</v>
      </c>
      <c r="V178" s="39">
        <f t="shared" si="106"/>
        <v>404444.4444444451</v>
      </c>
      <c r="W178" s="39">
        <f t="shared" si="106"/>
        <v>303333.33333333395</v>
      </c>
      <c r="X178" s="39">
        <f t="shared" si="106"/>
        <v>202222.22222222283</v>
      </c>
      <c r="Y178" s="39">
        <f t="shared" si="106"/>
        <v>101111.11111111172</v>
      </c>
      <c r="Z178" s="39">
        <f t="shared" si="106"/>
        <v>6.111804395914078E-10</v>
      </c>
      <c r="AA178" s="39"/>
    </row>
    <row r="179" spans="2:27" ht="15">
      <c r="B179" s="32"/>
      <c r="C179" s="32"/>
      <c r="D179" s="39" t="s">
        <v>84</v>
      </c>
      <c r="E179" s="39">
        <v>0</v>
      </c>
      <c r="F179" s="39">
        <f>$E$6*E178</f>
        <v>0</v>
      </c>
      <c r="G179" s="39">
        <f>F178*$F$6</f>
        <v>3412.5</v>
      </c>
      <c r="H179" s="39">
        <f>G178*$G$6</f>
        <v>13650</v>
      </c>
      <c r="I179" s="39">
        <f>H178*$H$6</f>
        <v>22750</v>
      </c>
      <c r="J179" s="39">
        <f>I178*$I$6</f>
        <v>25783.333333333336</v>
      </c>
      <c r="K179" s="39">
        <f>J178*$J$6</f>
        <v>28311.111111111117</v>
      </c>
      <c r="L179" s="39">
        <f>K178*$K$6</f>
        <v>30333.33333333334</v>
      </c>
      <c r="M179" s="39">
        <f>L178*$L$6</f>
        <v>31850.000000000007</v>
      </c>
      <c r="N179" s="39">
        <f>M178*$M$6</f>
        <v>32861.111111111124</v>
      </c>
      <c r="O179" s="39">
        <f>N178*$N$6</f>
        <v>33366.66666666668</v>
      </c>
      <c r="P179" s="39">
        <f>O178*$O$6</f>
        <v>33366.666666666686</v>
      </c>
      <c r="Q179" s="39">
        <f>P178*$P$6</f>
        <v>32861.11111111113</v>
      </c>
      <c r="R179" s="39">
        <f>Q178*$Q$6</f>
        <v>31850.000000000022</v>
      </c>
      <c r="S179" s="39">
        <f>R178*$R$6</f>
        <v>30333.333333333358</v>
      </c>
      <c r="T179" s="39">
        <f>S178*$S$6</f>
        <v>28311.11111111114</v>
      </c>
      <c r="U179" s="39">
        <f>T178*$T$6</f>
        <v>25783.333333333365</v>
      </c>
      <c r="V179" s="39">
        <f>U178*$U$6</f>
        <v>22750.000000000033</v>
      </c>
      <c r="W179" s="39">
        <f>V178*$V$6</f>
        <v>19211.111111111146</v>
      </c>
      <c r="X179" s="39">
        <f>W178*$W$6</f>
        <v>15166.6666666667</v>
      </c>
      <c r="Y179" s="39">
        <f>X178*$X$6</f>
        <v>10616.6666666667</v>
      </c>
      <c r="Z179" s="39">
        <f>Y178*$Y$6</f>
        <v>5561.111111111146</v>
      </c>
      <c r="AA179" s="39">
        <f>SUM(E179:Z179)</f>
        <v>478129.166666667</v>
      </c>
    </row>
    <row r="180" spans="2:27" ht="15">
      <c r="B180" s="32"/>
      <c r="C180" s="32"/>
      <c r="D180" s="39" t="s">
        <v>85</v>
      </c>
      <c r="E180" s="39">
        <v>0</v>
      </c>
      <c r="F180" s="39">
        <v>0</v>
      </c>
      <c r="G180" s="39">
        <v>0</v>
      </c>
      <c r="H180" s="39"/>
      <c r="I180" s="39">
        <f>$H178/18</f>
        <v>101111.11111111111</v>
      </c>
      <c r="J180" s="39">
        <f aca="true" t="shared" si="107" ref="J180:Z180">$H178/18</f>
        <v>101111.11111111111</v>
      </c>
      <c r="K180" s="39">
        <f t="shared" si="107"/>
        <v>101111.11111111111</v>
      </c>
      <c r="L180" s="39">
        <f t="shared" si="107"/>
        <v>101111.11111111111</v>
      </c>
      <c r="M180" s="39">
        <f t="shared" si="107"/>
        <v>101111.11111111111</v>
      </c>
      <c r="N180" s="39">
        <f t="shared" si="107"/>
        <v>101111.11111111111</v>
      </c>
      <c r="O180" s="39">
        <f t="shared" si="107"/>
        <v>101111.11111111111</v>
      </c>
      <c r="P180" s="39">
        <f t="shared" si="107"/>
        <v>101111.11111111111</v>
      </c>
      <c r="Q180" s="39">
        <f t="shared" si="107"/>
        <v>101111.11111111111</v>
      </c>
      <c r="R180" s="39">
        <f t="shared" si="107"/>
        <v>101111.11111111111</v>
      </c>
      <c r="S180" s="39">
        <f t="shared" si="107"/>
        <v>101111.11111111111</v>
      </c>
      <c r="T180" s="39">
        <f t="shared" si="107"/>
        <v>101111.11111111111</v>
      </c>
      <c r="U180" s="39">
        <f t="shared" si="107"/>
        <v>101111.11111111111</v>
      </c>
      <c r="V180" s="39">
        <f t="shared" si="107"/>
        <v>101111.11111111111</v>
      </c>
      <c r="W180" s="39">
        <f t="shared" si="107"/>
        <v>101111.11111111111</v>
      </c>
      <c r="X180" s="39">
        <f t="shared" si="107"/>
        <v>101111.11111111111</v>
      </c>
      <c r="Y180" s="39">
        <f t="shared" si="107"/>
        <v>101111.11111111111</v>
      </c>
      <c r="Z180" s="39">
        <f t="shared" si="107"/>
        <v>101111.11111111111</v>
      </c>
      <c r="AA180" s="39">
        <f>SUM(E180:Z180)</f>
        <v>1819999.9999999993</v>
      </c>
    </row>
    <row r="181" spans="2:27" ht="15">
      <c r="B181" s="32"/>
      <c r="C181" s="32"/>
      <c r="D181" s="39" t="s">
        <v>86</v>
      </c>
      <c r="E181" s="39">
        <v>0</v>
      </c>
      <c r="F181" s="39">
        <f>F179+F180</f>
        <v>0</v>
      </c>
      <c r="G181" s="39">
        <f aca="true" t="shared" si="108" ref="G181:Z181">G179+G180</f>
        <v>3412.5</v>
      </c>
      <c r="H181" s="39">
        <f t="shared" si="108"/>
        <v>13650</v>
      </c>
      <c r="I181" s="39">
        <f t="shared" si="108"/>
        <v>123861.11111111111</v>
      </c>
      <c r="J181" s="39">
        <f t="shared" si="108"/>
        <v>126894.44444444444</v>
      </c>
      <c r="K181" s="39">
        <f t="shared" si="108"/>
        <v>129422.22222222222</v>
      </c>
      <c r="L181" s="39">
        <f t="shared" si="108"/>
        <v>131444.44444444444</v>
      </c>
      <c r="M181" s="39">
        <f t="shared" si="108"/>
        <v>132961.11111111112</v>
      </c>
      <c r="N181" s="39">
        <f t="shared" si="108"/>
        <v>133972.22222222225</v>
      </c>
      <c r="O181" s="39">
        <f t="shared" si="108"/>
        <v>134477.77777777778</v>
      </c>
      <c r="P181" s="39">
        <f t="shared" si="108"/>
        <v>134477.7777777778</v>
      </c>
      <c r="Q181" s="39">
        <f t="shared" si="108"/>
        <v>133972.22222222225</v>
      </c>
      <c r="R181" s="39">
        <f t="shared" si="108"/>
        <v>132961.11111111112</v>
      </c>
      <c r="S181" s="39">
        <f t="shared" si="108"/>
        <v>131444.44444444447</v>
      </c>
      <c r="T181" s="39">
        <f t="shared" si="108"/>
        <v>129422.22222222225</v>
      </c>
      <c r="U181" s="39">
        <f t="shared" si="108"/>
        <v>126894.44444444447</v>
      </c>
      <c r="V181" s="39">
        <f t="shared" si="108"/>
        <v>123861.11111111114</v>
      </c>
      <c r="W181" s="39">
        <f t="shared" si="108"/>
        <v>120322.22222222225</v>
      </c>
      <c r="X181" s="39">
        <f t="shared" si="108"/>
        <v>116277.77777777781</v>
      </c>
      <c r="Y181" s="39">
        <f t="shared" si="108"/>
        <v>111727.77777777781</v>
      </c>
      <c r="Z181" s="39">
        <f t="shared" si="108"/>
        <v>106672.22222222225</v>
      </c>
      <c r="AA181" s="40">
        <f>SUM(E181:Z181)</f>
        <v>2298129.166666667</v>
      </c>
    </row>
    <row r="182" spans="2:27" ht="15">
      <c r="B182" s="32" t="s">
        <v>87</v>
      </c>
      <c r="C182" s="39">
        <f>C177+430000</f>
        <v>2250000</v>
      </c>
      <c r="D182" s="39" t="s">
        <v>88</v>
      </c>
      <c r="E182" s="39"/>
      <c r="F182" s="39"/>
      <c r="G182" s="39"/>
      <c r="H182" s="39">
        <f>$C$182*0.65*0.03</f>
        <v>43875</v>
      </c>
      <c r="I182" s="39">
        <f aca="true" t="shared" si="109" ref="I182:Z182">$C$182*0.65*0.03</f>
        <v>43875</v>
      </c>
      <c r="J182" s="39">
        <f t="shared" si="109"/>
        <v>43875</v>
      </c>
      <c r="K182" s="39">
        <f t="shared" si="109"/>
        <v>43875</v>
      </c>
      <c r="L182" s="39">
        <f t="shared" si="109"/>
        <v>43875</v>
      </c>
      <c r="M182" s="39">
        <f t="shared" si="109"/>
        <v>43875</v>
      </c>
      <c r="N182" s="39">
        <f t="shared" si="109"/>
        <v>43875</v>
      </c>
      <c r="O182" s="39">
        <f t="shared" si="109"/>
        <v>43875</v>
      </c>
      <c r="P182" s="39">
        <f t="shared" si="109"/>
        <v>43875</v>
      </c>
      <c r="Q182" s="39">
        <f t="shared" si="109"/>
        <v>43875</v>
      </c>
      <c r="R182" s="39">
        <f t="shared" si="109"/>
        <v>43875</v>
      </c>
      <c r="S182" s="39">
        <f t="shared" si="109"/>
        <v>43875</v>
      </c>
      <c r="T182" s="39">
        <f t="shared" si="109"/>
        <v>43875</v>
      </c>
      <c r="U182" s="39">
        <f t="shared" si="109"/>
        <v>43875</v>
      </c>
      <c r="V182" s="39">
        <f t="shared" si="109"/>
        <v>43875</v>
      </c>
      <c r="W182" s="39">
        <f t="shared" si="109"/>
        <v>43875</v>
      </c>
      <c r="X182" s="39">
        <f t="shared" si="109"/>
        <v>43875</v>
      </c>
      <c r="Y182" s="39">
        <f t="shared" si="109"/>
        <v>43875</v>
      </c>
      <c r="Z182" s="39">
        <f t="shared" si="109"/>
        <v>43875</v>
      </c>
      <c r="AA182" s="40">
        <f>SUM(E182:Z182)</f>
        <v>833625</v>
      </c>
    </row>
    <row r="183" spans="2:27" ht="15">
      <c r="B183" s="32"/>
      <c r="C183" s="32"/>
      <c r="D183" s="40" t="s">
        <v>80</v>
      </c>
      <c r="E183" s="40">
        <f>SUM(E181:E182)</f>
        <v>0</v>
      </c>
      <c r="F183" s="40">
        <f aca="true" t="shared" si="110" ref="F183:Z183">SUM(F181:F182)</f>
        <v>0</v>
      </c>
      <c r="G183" s="40">
        <f t="shared" si="110"/>
        <v>3412.5</v>
      </c>
      <c r="H183" s="40">
        <f t="shared" si="110"/>
        <v>57525</v>
      </c>
      <c r="I183" s="40">
        <f t="shared" si="110"/>
        <v>167736.11111111112</v>
      </c>
      <c r="J183" s="40">
        <f t="shared" si="110"/>
        <v>170769.44444444444</v>
      </c>
      <c r="K183" s="40">
        <f t="shared" si="110"/>
        <v>173297.22222222222</v>
      </c>
      <c r="L183" s="40">
        <f t="shared" si="110"/>
        <v>175319.44444444444</v>
      </c>
      <c r="M183" s="40">
        <f t="shared" si="110"/>
        <v>176836.11111111112</v>
      </c>
      <c r="N183" s="40">
        <f t="shared" si="110"/>
        <v>177847.22222222225</v>
      </c>
      <c r="O183" s="40">
        <f t="shared" si="110"/>
        <v>178352.77777777778</v>
      </c>
      <c r="P183" s="40">
        <f t="shared" si="110"/>
        <v>178352.7777777778</v>
      </c>
      <c r="Q183" s="40">
        <f t="shared" si="110"/>
        <v>177847.22222222225</v>
      </c>
      <c r="R183" s="40">
        <f t="shared" si="110"/>
        <v>176836.11111111112</v>
      </c>
      <c r="S183" s="40">
        <f t="shared" si="110"/>
        <v>175319.44444444447</v>
      </c>
      <c r="T183" s="40">
        <f t="shared" si="110"/>
        <v>173297.22222222225</v>
      </c>
      <c r="U183" s="40">
        <f t="shared" si="110"/>
        <v>170769.44444444447</v>
      </c>
      <c r="V183" s="40">
        <f t="shared" si="110"/>
        <v>167736.11111111112</v>
      </c>
      <c r="W183" s="40">
        <f t="shared" si="110"/>
        <v>164197.22222222225</v>
      </c>
      <c r="X183" s="40">
        <f t="shared" si="110"/>
        <v>160152.7777777778</v>
      </c>
      <c r="Y183" s="40">
        <f t="shared" si="110"/>
        <v>155602.7777777778</v>
      </c>
      <c r="Z183" s="40">
        <f t="shared" si="110"/>
        <v>150547.22222222225</v>
      </c>
      <c r="AA183" s="40">
        <f>SUM(AA181:AA181)</f>
        <v>2298129.166666667</v>
      </c>
    </row>
    <row r="185" spans="1:27" ht="15">
      <c r="A185" t="s">
        <v>91</v>
      </c>
      <c r="B185" s="38" t="s">
        <v>90</v>
      </c>
      <c r="C185" s="39">
        <v>900000</v>
      </c>
      <c r="D185" s="39" t="s">
        <v>57</v>
      </c>
      <c r="E185" s="39">
        <v>0</v>
      </c>
      <c r="F185" s="39">
        <f>0.25*C185</f>
        <v>225000</v>
      </c>
      <c r="G185" s="39">
        <f>0.5*C185</f>
        <v>450000</v>
      </c>
      <c r="H185" s="39">
        <f>0.25*C185</f>
        <v>225000</v>
      </c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</row>
    <row r="186" spans="2:27" ht="15">
      <c r="B186" s="32"/>
      <c r="C186" s="32"/>
      <c r="D186" s="39" t="s">
        <v>83</v>
      </c>
      <c r="E186" s="39">
        <v>0</v>
      </c>
      <c r="F186" s="39">
        <f>F185</f>
        <v>225000</v>
      </c>
      <c r="G186" s="39">
        <f>F185+G185</f>
        <v>675000</v>
      </c>
      <c r="H186" s="39">
        <f>F185+G185+H185</f>
        <v>900000</v>
      </c>
      <c r="I186" s="39">
        <f>H186-$H186/18</f>
        <v>850000</v>
      </c>
      <c r="J186" s="39">
        <f aca="true" t="shared" si="111" ref="J186:Z186">I186-$H186/18</f>
        <v>800000</v>
      </c>
      <c r="K186" s="39">
        <f t="shared" si="111"/>
        <v>750000</v>
      </c>
      <c r="L186" s="39">
        <f t="shared" si="111"/>
        <v>700000</v>
      </c>
      <c r="M186" s="39">
        <f t="shared" si="111"/>
        <v>650000</v>
      </c>
      <c r="N186" s="39">
        <f t="shared" si="111"/>
        <v>600000</v>
      </c>
      <c r="O186" s="39">
        <f t="shared" si="111"/>
        <v>550000</v>
      </c>
      <c r="P186" s="39">
        <f t="shared" si="111"/>
        <v>500000</v>
      </c>
      <c r="Q186" s="39">
        <f t="shared" si="111"/>
        <v>450000</v>
      </c>
      <c r="R186" s="39">
        <f t="shared" si="111"/>
        <v>400000</v>
      </c>
      <c r="S186" s="39">
        <f t="shared" si="111"/>
        <v>350000</v>
      </c>
      <c r="T186" s="39">
        <f t="shared" si="111"/>
        <v>300000</v>
      </c>
      <c r="U186" s="39">
        <f t="shared" si="111"/>
        <v>250000</v>
      </c>
      <c r="V186" s="39">
        <f t="shared" si="111"/>
        <v>200000</v>
      </c>
      <c r="W186" s="39">
        <f t="shared" si="111"/>
        <v>150000</v>
      </c>
      <c r="X186" s="39">
        <f t="shared" si="111"/>
        <v>100000</v>
      </c>
      <c r="Y186" s="39">
        <f t="shared" si="111"/>
        <v>50000</v>
      </c>
      <c r="Z186" s="39">
        <f t="shared" si="111"/>
        <v>0</v>
      </c>
      <c r="AA186" s="39"/>
    </row>
    <row r="187" spans="2:27" ht="15">
      <c r="B187" s="32"/>
      <c r="C187" s="32"/>
      <c r="D187" s="39" t="s">
        <v>84</v>
      </c>
      <c r="E187" s="39">
        <v>0</v>
      </c>
      <c r="F187" s="39">
        <f>$E$6*E186</f>
        <v>0</v>
      </c>
      <c r="G187" s="39">
        <f>F186*$F$6</f>
        <v>1687.5</v>
      </c>
      <c r="H187" s="39">
        <f>G186*$G$6</f>
        <v>6750</v>
      </c>
      <c r="I187" s="39">
        <f>H186*$H$6</f>
        <v>11250</v>
      </c>
      <c r="J187" s="39">
        <f>I186*$I$6</f>
        <v>12750.000000000002</v>
      </c>
      <c r="K187" s="39">
        <f>J186*$J$6</f>
        <v>14000.000000000002</v>
      </c>
      <c r="L187" s="39">
        <f>K186*$K$6</f>
        <v>15000</v>
      </c>
      <c r="M187" s="39">
        <f>L186*$L$6</f>
        <v>15750</v>
      </c>
      <c r="N187" s="39">
        <f>M186*$M$6</f>
        <v>16249.999999999998</v>
      </c>
      <c r="O187" s="39">
        <f>N186*$N$6</f>
        <v>16499.999999999996</v>
      </c>
      <c r="P187" s="39">
        <f>O186*$O$6</f>
        <v>16499.999999999996</v>
      </c>
      <c r="Q187" s="39">
        <f>P186*$P$6</f>
        <v>16249.999999999996</v>
      </c>
      <c r="R187" s="39">
        <f>Q186*$Q$6</f>
        <v>15749.999999999998</v>
      </c>
      <c r="S187" s="39">
        <f>R186*$R$6</f>
        <v>15000</v>
      </c>
      <c r="T187" s="39">
        <f>S186*$S$6</f>
        <v>14000</v>
      </c>
      <c r="U187" s="39">
        <f>T186*$T$6</f>
        <v>12750.000000000002</v>
      </c>
      <c r="V187" s="39">
        <f>U186*$U$6</f>
        <v>11250.000000000002</v>
      </c>
      <c r="W187" s="39">
        <f>V186*$V$6</f>
        <v>9500.000000000002</v>
      </c>
      <c r="X187" s="39">
        <f>W186*$W$6</f>
        <v>7500.000000000002</v>
      </c>
      <c r="Y187" s="39">
        <f>X186*$X$6</f>
        <v>5250.000000000001</v>
      </c>
      <c r="Z187" s="39">
        <f>Y186*$Y$6</f>
        <v>2750.000000000001</v>
      </c>
      <c r="AA187" s="39">
        <f>SUM(E187:Z187)</f>
        <v>236437.5</v>
      </c>
    </row>
    <row r="188" spans="2:27" ht="15">
      <c r="B188" s="32"/>
      <c r="C188" s="32"/>
      <c r="D188" s="39" t="s">
        <v>85</v>
      </c>
      <c r="E188" s="39">
        <v>0</v>
      </c>
      <c r="F188" s="39">
        <v>0</v>
      </c>
      <c r="G188" s="39">
        <v>0</v>
      </c>
      <c r="H188" s="39"/>
      <c r="I188" s="39">
        <f>$H186/18</f>
        <v>50000</v>
      </c>
      <c r="J188" s="39">
        <f aca="true" t="shared" si="112" ref="J188:Z188">$H186/18</f>
        <v>50000</v>
      </c>
      <c r="K188" s="39">
        <f t="shared" si="112"/>
        <v>50000</v>
      </c>
      <c r="L188" s="39">
        <f t="shared" si="112"/>
        <v>50000</v>
      </c>
      <c r="M188" s="39">
        <f t="shared" si="112"/>
        <v>50000</v>
      </c>
      <c r="N188" s="39">
        <f t="shared" si="112"/>
        <v>50000</v>
      </c>
      <c r="O188" s="39">
        <f t="shared" si="112"/>
        <v>50000</v>
      </c>
      <c r="P188" s="39">
        <f t="shared" si="112"/>
        <v>50000</v>
      </c>
      <c r="Q188" s="39">
        <f t="shared" si="112"/>
        <v>50000</v>
      </c>
      <c r="R188" s="39">
        <f t="shared" si="112"/>
        <v>50000</v>
      </c>
      <c r="S188" s="39">
        <f t="shared" si="112"/>
        <v>50000</v>
      </c>
      <c r="T188" s="39">
        <f t="shared" si="112"/>
        <v>50000</v>
      </c>
      <c r="U188" s="39">
        <f t="shared" si="112"/>
        <v>50000</v>
      </c>
      <c r="V188" s="39">
        <f t="shared" si="112"/>
        <v>50000</v>
      </c>
      <c r="W188" s="39">
        <f t="shared" si="112"/>
        <v>50000</v>
      </c>
      <c r="X188" s="39">
        <f t="shared" si="112"/>
        <v>50000</v>
      </c>
      <c r="Y188" s="39">
        <f t="shared" si="112"/>
        <v>50000</v>
      </c>
      <c r="Z188" s="39">
        <f t="shared" si="112"/>
        <v>50000</v>
      </c>
      <c r="AA188" s="39">
        <f>SUM(E188:Z188)</f>
        <v>900000</v>
      </c>
    </row>
    <row r="189" spans="2:27" ht="15">
      <c r="B189" s="32"/>
      <c r="C189" s="32"/>
      <c r="D189" s="39" t="s">
        <v>86</v>
      </c>
      <c r="E189" s="39">
        <v>0</v>
      </c>
      <c r="F189" s="39">
        <f>F187+F188</f>
        <v>0</v>
      </c>
      <c r="G189" s="39">
        <f aca="true" t="shared" si="113" ref="G189:Z189">G187+G188</f>
        <v>1687.5</v>
      </c>
      <c r="H189" s="39">
        <f t="shared" si="113"/>
        <v>6750</v>
      </c>
      <c r="I189" s="39">
        <f t="shared" si="113"/>
        <v>61250</v>
      </c>
      <c r="J189" s="39">
        <f t="shared" si="113"/>
        <v>62750</v>
      </c>
      <c r="K189" s="39">
        <f t="shared" si="113"/>
        <v>64000</v>
      </c>
      <c r="L189" s="39">
        <f t="shared" si="113"/>
        <v>65000</v>
      </c>
      <c r="M189" s="39">
        <f t="shared" si="113"/>
        <v>65750</v>
      </c>
      <c r="N189" s="39">
        <f t="shared" si="113"/>
        <v>66250</v>
      </c>
      <c r="O189" s="39">
        <f t="shared" si="113"/>
        <v>66500</v>
      </c>
      <c r="P189" s="39">
        <f t="shared" si="113"/>
        <v>66500</v>
      </c>
      <c r="Q189" s="39">
        <f t="shared" si="113"/>
        <v>66250</v>
      </c>
      <c r="R189" s="39">
        <f t="shared" si="113"/>
        <v>65750</v>
      </c>
      <c r="S189" s="39">
        <f t="shared" si="113"/>
        <v>65000</v>
      </c>
      <c r="T189" s="39">
        <f t="shared" si="113"/>
        <v>64000</v>
      </c>
      <c r="U189" s="39">
        <f t="shared" si="113"/>
        <v>62750</v>
      </c>
      <c r="V189" s="39">
        <f t="shared" si="113"/>
        <v>61250</v>
      </c>
      <c r="W189" s="39">
        <f t="shared" si="113"/>
        <v>59500</v>
      </c>
      <c r="X189" s="39">
        <f t="shared" si="113"/>
        <v>57500</v>
      </c>
      <c r="Y189" s="39">
        <f t="shared" si="113"/>
        <v>55250</v>
      </c>
      <c r="Z189" s="39">
        <f t="shared" si="113"/>
        <v>52750</v>
      </c>
      <c r="AA189" s="40">
        <f>SUM(E189:Z189)</f>
        <v>1136437.5</v>
      </c>
    </row>
    <row r="190" spans="2:27" ht="15">
      <c r="B190" s="32" t="s">
        <v>87</v>
      </c>
      <c r="C190" s="39">
        <f>C185+260000</f>
        <v>1160000</v>
      </c>
      <c r="D190" s="39" t="s">
        <v>88</v>
      </c>
      <c r="E190" s="39"/>
      <c r="F190" s="39"/>
      <c r="G190" s="39"/>
      <c r="H190" s="39">
        <f>$C$190*0.65*0.03</f>
        <v>22620</v>
      </c>
      <c r="I190" s="39">
        <f aca="true" t="shared" si="114" ref="I190:Z190">$C$190*0.65*0.03</f>
        <v>22620</v>
      </c>
      <c r="J190" s="39">
        <f t="shared" si="114"/>
        <v>22620</v>
      </c>
      <c r="K190" s="39">
        <f t="shared" si="114"/>
        <v>22620</v>
      </c>
      <c r="L190" s="39">
        <f t="shared" si="114"/>
        <v>22620</v>
      </c>
      <c r="M190" s="39">
        <f t="shared" si="114"/>
        <v>22620</v>
      </c>
      <c r="N190" s="39">
        <f t="shared" si="114"/>
        <v>22620</v>
      </c>
      <c r="O190" s="39">
        <f t="shared" si="114"/>
        <v>22620</v>
      </c>
      <c r="P190" s="39">
        <f t="shared" si="114"/>
        <v>22620</v>
      </c>
      <c r="Q190" s="39">
        <f t="shared" si="114"/>
        <v>22620</v>
      </c>
      <c r="R190" s="39">
        <f t="shared" si="114"/>
        <v>22620</v>
      </c>
      <c r="S190" s="39">
        <f t="shared" si="114"/>
        <v>22620</v>
      </c>
      <c r="T190" s="39">
        <f t="shared" si="114"/>
        <v>22620</v>
      </c>
      <c r="U190" s="39">
        <f t="shared" si="114"/>
        <v>22620</v>
      </c>
      <c r="V190" s="39">
        <f t="shared" si="114"/>
        <v>22620</v>
      </c>
      <c r="W190" s="39">
        <f t="shared" si="114"/>
        <v>22620</v>
      </c>
      <c r="X190" s="39">
        <f t="shared" si="114"/>
        <v>22620</v>
      </c>
      <c r="Y190" s="39">
        <f t="shared" si="114"/>
        <v>22620</v>
      </c>
      <c r="Z190" s="39">
        <f t="shared" si="114"/>
        <v>22620</v>
      </c>
      <c r="AA190" s="40">
        <f>SUM(E190:Z190)</f>
        <v>429780</v>
      </c>
    </row>
    <row r="191" spans="2:27" ht="15">
      <c r="B191" s="32"/>
      <c r="C191" s="32"/>
      <c r="D191" s="40" t="s">
        <v>80</v>
      </c>
      <c r="E191" s="40">
        <f>SUM(E189:E190)</f>
        <v>0</v>
      </c>
      <c r="F191" s="40">
        <f aca="true" t="shared" si="115" ref="F191:Z191">SUM(F189:F190)</f>
        <v>0</v>
      </c>
      <c r="G191" s="40">
        <f t="shared" si="115"/>
        <v>1687.5</v>
      </c>
      <c r="H191" s="40">
        <f t="shared" si="115"/>
        <v>29370</v>
      </c>
      <c r="I191" s="40">
        <f t="shared" si="115"/>
        <v>83870</v>
      </c>
      <c r="J191" s="40">
        <f t="shared" si="115"/>
        <v>85370</v>
      </c>
      <c r="K191" s="40">
        <f t="shared" si="115"/>
        <v>86620</v>
      </c>
      <c r="L191" s="40">
        <f t="shared" si="115"/>
        <v>87620</v>
      </c>
      <c r="M191" s="40">
        <f t="shared" si="115"/>
        <v>88370</v>
      </c>
      <c r="N191" s="40">
        <f t="shared" si="115"/>
        <v>88870</v>
      </c>
      <c r="O191" s="40">
        <f t="shared" si="115"/>
        <v>89120</v>
      </c>
      <c r="P191" s="40">
        <f t="shared" si="115"/>
        <v>89120</v>
      </c>
      <c r="Q191" s="40">
        <f t="shared" si="115"/>
        <v>88870</v>
      </c>
      <c r="R191" s="40">
        <f t="shared" si="115"/>
        <v>88370</v>
      </c>
      <c r="S191" s="40">
        <f t="shared" si="115"/>
        <v>87620</v>
      </c>
      <c r="T191" s="40">
        <f t="shared" si="115"/>
        <v>86620</v>
      </c>
      <c r="U191" s="40">
        <f t="shared" si="115"/>
        <v>85370</v>
      </c>
      <c r="V191" s="40">
        <f t="shared" si="115"/>
        <v>83870</v>
      </c>
      <c r="W191" s="40">
        <f t="shared" si="115"/>
        <v>82120</v>
      </c>
      <c r="X191" s="40">
        <f t="shared" si="115"/>
        <v>80120</v>
      </c>
      <c r="Y191" s="40">
        <f t="shared" si="115"/>
        <v>77870</v>
      </c>
      <c r="Z191" s="40">
        <f t="shared" si="115"/>
        <v>75370</v>
      </c>
      <c r="AA191" s="40">
        <f>SUM(AA189:AA189)</f>
        <v>1136437.5</v>
      </c>
    </row>
    <row r="193" spans="1:27" ht="15">
      <c r="A193" t="s">
        <v>34</v>
      </c>
      <c r="B193" s="38" t="s">
        <v>22</v>
      </c>
      <c r="C193" s="39">
        <v>1610000</v>
      </c>
      <c r="D193" s="39" t="s">
        <v>57</v>
      </c>
      <c r="E193" s="39">
        <v>0</v>
      </c>
      <c r="F193" s="39">
        <f>0.25*C193</f>
        <v>402500</v>
      </c>
      <c r="G193" s="39">
        <f>0.5*C193</f>
        <v>805000</v>
      </c>
      <c r="H193" s="39">
        <f>0.25*C193</f>
        <v>402500</v>
      </c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</row>
    <row r="194" spans="2:27" ht="15">
      <c r="B194" s="32"/>
      <c r="C194" s="32"/>
      <c r="D194" s="39" t="s">
        <v>83</v>
      </c>
      <c r="E194" s="39">
        <v>0</v>
      </c>
      <c r="F194" s="39">
        <f>F193</f>
        <v>402500</v>
      </c>
      <c r="G194" s="39">
        <f>F193+G193</f>
        <v>1207500</v>
      </c>
      <c r="H194" s="39">
        <f>F193+G193+H193</f>
        <v>1610000</v>
      </c>
      <c r="I194" s="39">
        <f>H194-$H194/18</f>
        <v>1520555.5555555555</v>
      </c>
      <c r="J194" s="39">
        <f aca="true" t="shared" si="116" ref="J194:Z194">I194-$H194/18</f>
        <v>1431111.111111111</v>
      </c>
      <c r="K194" s="39">
        <f t="shared" si="116"/>
        <v>1341666.6666666665</v>
      </c>
      <c r="L194" s="39">
        <f t="shared" si="116"/>
        <v>1252222.222222222</v>
      </c>
      <c r="M194" s="39">
        <f t="shared" si="116"/>
        <v>1162777.7777777775</v>
      </c>
      <c r="N194" s="39">
        <f t="shared" si="116"/>
        <v>1073333.333333333</v>
      </c>
      <c r="O194" s="39">
        <f t="shared" si="116"/>
        <v>983888.8888888885</v>
      </c>
      <c r="P194" s="39">
        <f t="shared" si="116"/>
        <v>894444.444444444</v>
      </c>
      <c r="Q194" s="39">
        <f t="shared" si="116"/>
        <v>804999.9999999995</v>
      </c>
      <c r="R194" s="39">
        <f t="shared" si="116"/>
        <v>715555.555555555</v>
      </c>
      <c r="S194" s="39">
        <f t="shared" si="116"/>
        <v>626111.1111111105</v>
      </c>
      <c r="T194" s="39">
        <f t="shared" si="116"/>
        <v>536666.666666666</v>
      </c>
      <c r="U194" s="39">
        <f t="shared" si="116"/>
        <v>447222.2222222216</v>
      </c>
      <c r="V194" s="39">
        <f t="shared" si="116"/>
        <v>357777.77777777717</v>
      </c>
      <c r="W194" s="39">
        <f t="shared" si="116"/>
        <v>268333.33333333273</v>
      </c>
      <c r="X194" s="39">
        <f t="shared" si="116"/>
        <v>178888.8888888883</v>
      </c>
      <c r="Y194" s="39">
        <f t="shared" si="116"/>
        <v>89444.44444444386</v>
      </c>
      <c r="Z194" s="39">
        <f t="shared" si="116"/>
        <v>-5.820766091346741E-10</v>
      </c>
      <c r="AA194" s="39"/>
    </row>
    <row r="195" spans="2:27" ht="15">
      <c r="B195" s="32"/>
      <c r="C195" s="32"/>
      <c r="D195" s="39" t="s">
        <v>84</v>
      </c>
      <c r="E195" s="39">
        <v>0</v>
      </c>
      <c r="F195" s="39">
        <f>$E$6*E194</f>
        <v>0</v>
      </c>
      <c r="G195" s="39">
        <f>F194*$F$6</f>
        <v>3018.75</v>
      </c>
      <c r="H195" s="39">
        <f>G194*$G$6</f>
        <v>12075</v>
      </c>
      <c r="I195" s="39">
        <f>H194*$H$6</f>
        <v>20125</v>
      </c>
      <c r="J195" s="39">
        <f>I194*$I$6</f>
        <v>22808.333333333336</v>
      </c>
      <c r="K195" s="39">
        <f>J194*$J$6</f>
        <v>25044.444444444445</v>
      </c>
      <c r="L195" s="39">
        <f>K194*$K$6</f>
        <v>26833.333333333332</v>
      </c>
      <c r="M195" s="39">
        <f>L194*$L$6</f>
        <v>28174.999999999993</v>
      </c>
      <c r="N195" s="39">
        <f>M194*$M$6</f>
        <v>29069.444444444434</v>
      </c>
      <c r="O195" s="39">
        <f>N194*$N$6</f>
        <v>29516.666666666653</v>
      </c>
      <c r="P195" s="39">
        <f>O194*$O$6</f>
        <v>29516.66666666665</v>
      </c>
      <c r="Q195" s="39">
        <f>P194*$P$6</f>
        <v>29069.444444444427</v>
      </c>
      <c r="R195" s="39">
        <f>Q194*$Q$6</f>
        <v>28174.99999999998</v>
      </c>
      <c r="S195" s="39">
        <f>R194*$R$6</f>
        <v>26833.333333333314</v>
      </c>
      <c r="T195" s="39">
        <f>S194*$S$6</f>
        <v>25044.444444444423</v>
      </c>
      <c r="U195" s="39">
        <f>T194*$T$6</f>
        <v>22808.33333333331</v>
      </c>
      <c r="V195" s="39">
        <f>U194*$U$6</f>
        <v>20124.999999999975</v>
      </c>
      <c r="W195" s="39">
        <f>V194*$V$6</f>
        <v>16994.44444444442</v>
      </c>
      <c r="X195" s="39">
        <f>W194*$W$6</f>
        <v>13416.666666666639</v>
      </c>
      <c r="Y195" s="39">
        <f>X194*$X$6</f>
        <v>9391.666666666637</v>
      </c>
      <c r="Z195" s="39">
        <f>Y194*$Y$6</f>
        <v>4919.444444444413</v>
      </c>
      <c r="AA195" s="39">
        <f>SUM(E195:Z195)</f>
        <v>422960.41666666645</v>
      </c>
    </row>
    <row r="196" spans="2:27" ht="15">
      <c r="B196" s="32"/>
      <c r="C196" s="32"/>
      <c r="D196" s="39" t="s">
        <v>85</v>
      </c>
      <c r="E196" s="39">
        <v>0</v>
      </c>
      <c r="F196" s="39">
        <v>0</v>
      </c>
      <c r="G196" s="39">
        <v>0</v>
      </c>
      <c r="H196" s="39"/>
      <c r="I196" s="39">
        <f>$H194/18</f>
        <v>89444.44444444444</v>
      </c>
      <c r="J196" s="39">
        <f aca="true" t="shared" si="117" ref="J196:Z196">$H194/18</f>
        <v>89444.44444444444</v>
      </c>
      <c r="K196" s="39">
        <f t="shared" si="117"/>
        <v>89444.44444444444</v>
      </c>
      <c r="L196" s="39">
        <f t="shared" si="117"/>
        <v>89444.44444444444</v>
      </c>
      <c r="M196" s="39">
        <f t="shared" si="117"/>
        <v>89444.44444444444</v>
      </c>
      <c r="N196" s="39">
        <f t="shared" si="117"/>
        <v>89444.44444444444</v>
      </c>
      <c r="O196" s="39">
        <f t="shared" si="117"/>
        <v>89444.44444444444</v>
      </c>
      <c r="P196" s="39">
        <f t="shared" si="117"/>
        <v>89444.44444444444</v>
      </c>
      <c r="Q196" s="39">
        <f t="shared" si="117"/>
        <v>89444.44444444444</v>
      </c>
      <c r="R196" s="39">
        <f t="shared" si="117"/>
        <v>89444.44444444444</v>
      </c>
      <c r="S196" s="39">
        <f t="shared" si="117"/>
        <v>89444.44444444444</v>
      </c>
      <c r="T196" s="39">
        <f t="shared" si="117"/>
        <v>89444.44444444444</v>
      </c>
      <c r="U196" s="39">
        <f t="shared" si="117"/>
        <v>89444.44444444444</v>
      </c>
      <c r="V196" s="39">
        <f t="shared" si="117"/>
        <v>89444.44444444444</v>
      </c>
      <c r="W196" s="39">
        <f t="shared" si="117"/>
        <v>89444.44444444444</v>
      </c>
      <c r="X196" s="39">
        <f t="shared" si="117"/>
        <v>89444.44444444444</v>
      </c>
      <c r="Y196" s="39">
        <f t="shared" si="117"/>
        <v>89444.44444444444</v>
      </c>
      <c r="Z196" s="39">
        <f t="shared" si="117"/>
        <v>89444.44444444444</v>
      </c>
      <c r="AA196" s="39">
        <f>SUM(E196:Z196)</f>
        <v>1610000.0000000005</v>
      </c>
    </row>
    <row r="197" spans="2:27" ht="15">
      <c r="B197" s="32"/>
      <c r="C197" s="32"/>
      <c r="D197" s="39" t="s">
        <v>86</v>
      </c>
      <c r="E197" s="39">
        <v>0</v>
      </c>
      <c r="F197" s="39">
        <f>F195+F196</f>
        <v>0</v>
      </c>
      <c r="G197" s="39">
        <f aca="true" t="shared" si="118" ref="G197:Z197">G195+G196</f>
        <v>3018.75</v>
      </c>
      <c r="H197" s="39">
        <f t="shared" si="118"/>
        <v>12075</v>
      </c>
      <c r="I197" s="39">
        <f t="shared" si="118"/>
        <v>109569.44444444444</v>
      </c>
      <c r="J197" s="39">
        <f t="shared" si="118"/>
        <v>112252.77777777778</v>
      </c>
      <c r="K197" s="39">
        <f t="shared" si="118"/>
        <v>114488.88888888888</v>
      </c>
      <c r="L197" s="39">
        <f t="shared" si="118"/>
        <v>116277.77777777777</v>
      </c>
      <c r="M197" s="39">
        <f t="shared" si="118"/>
        <v>117619.44444444444</v>
      </c>
      <c r="N197" s="39">
        <f t="shared" si="118"/>
        <v>118513.88888888888</v>
      </c>
      <c r="O197" s="39">
        <f t="shared" si="118"/>
        <v>118961.1111111111</v>
      </c>
      <c r="P197" s="39">
        <f t="shared" si="118"/>
        <v>118961.1111111111</v>
      </c>
      <c r="Q197" s="39">
        <f t="shared" si="118"/>
        <v>118513.88888888886</v>
      </c>
      <c r="R197" s="39">
        <f t="shared" si="118"/>
        <v>117619.44444444442</v>
      </c>
      <c r="S197" s="39">
        <f t="shared" si="118"/>
        <v>116277.77777777775</v>
      </c>
      <c r="T197" s="39">
        <f t="shared" si="118"/>
        <v>114488.88888888886</v>
      </c>
      <c r="U197" s="39">
        <f t="shared" si="118"/>
        <v>112252.77777777775</v>
      </c>
      <c r="V197" s="39">
        <f t="shared" si="118"/>
        <v>109569.44444444441</v>
      </c>
      <c r="W197" s="39">
        <f t="shared" si="118"/>
        <v>106438.88888888886</v>
      </c>
      <c r="X197" s="39">
        <f t="shared" si="118"/>
        <v>102861.11111111108</v>
      </c>
      <c r="Y197" s="39">
        <f t="shared" si="118"/>
        <v>98836.11111111108</v>
      </c>
      <c r="Z197" s="39">
        <f t="shared" si="118"/>
        <v>94363.88888888885</v>
      </c>
      <c r="AA197" s="40">
        <f>SUM(E197:Z197)</f>
        <v>2032960.416666666</v>
      </c>
    </row>
    <row r="198" spans="2:27" ht="15">
      <c r="B198" s="32" t="s">
        <v>87</v>
      </c>
      <c r="C198" s="39">
        <f>C193+450000</f>
        <v>2060000</v>
      </c>
      <c r="D198" s="39" t="s">
        <v>88</v>
      </c>
      <c r="E198" s="39"/>
      <c r="F198" s="39"/>
      <c r="G198" s="39"/>
      <c r="H198" s="39">
        <f>$C$198*0.65*0.03</f>
        <v>40170</v>
      </c>
      <c r="I198" s="39">
        <f aca="true" t="shared" si="119" ref="I198:Z198">$C$198*0.65*0.03</f>
        <v>40170</v>
      </c>
      <c r="J198" s="39">
        <f t="shared" si="119"/>
        <v>40170</v>
      </c>
      <c r="K198" s="39">
        <f t="shared" si="119"/>
        <v>40170</v>
      </c>
      <c r="L198" s="39">
        <f t="shared" si="119"/>
        <v>40170</v>
      </c>
      <c r="M198" s="39">
        <f t="shared" si="119"/>
        <v>40170</v>
      </c>
      <c r="N198" s="39">
        <f t="shared" si="119"/>
        <v>40170</v>
      </c>
      <c r="O198" s="39">
        <f t="shared" si="119"/>
        <v>40170</v>
      </c>
      <c r="P198" s="39">
        <f t="shared" si="119"/>
        <v>40170</v>
      </c>
      <c r="Q198" s="39">
        <f t="shared" si="119"/>
        <v>40170</v>
      </c>
      <c r="R198" s="39">
        <f t="shared" si="119"/>
        <v>40170</v>
      </c>
      <c r="S198" s="39">
        <f t="shared" si="119"/>
        <v>40170</v>
      </c>
      <c r="T198" s="39">
        <f t="shared" si="119"/>
        <v>40170</v>
      </c>
      <c r="U198" s="39">
        <f t="shared" si="119"/>
        <v>40170</v>
      </c>
      <c r="V198" s="39">
        <f t="shared" si="119"/>
        <v>40170</v>
      </c>
      <c r="W198" s="39">
        <f t="shared" si="119"/>
        <v>40170</v>
      </c>
      <c r="X198" s="39">
        <f t="shared" si="119"/>
        <v>40170</v>
      </c>
      <c r="Y198" s="39">
        <f t="shared" si="119"/>
        <v>40170</v>
      </c>
      <c r="Z198" s="39">
        <f t="shared" si="119"/>
        <v>40170</v>
      </c>
      <c r="AA198" s="40">
        <f>SUM(E198:Z198)</f>
        <v>763230</v>
      </c>
    </row>
    <row r="199" spans="2:27" ht="15">
      <c r="B199" s="32"/>
      <c r="C199" s="32"/>
      <c r="D199" s="40" t="s">
        <v>80</v>
      </c>
      <c r="E199" s="40">
        <f>SUM(E197:E198)</f>
        <v>0</v>
      </c>
      <c r="F199" s="40">
        <f aca="true" t="shared" si="120" ref="F199:Z199">SUM(F197:F198)</f>
        <v>0</v>
      </c>
      <c r="G199" s="40">
        <f t="shared" si="120"/>
        <v>3018.75</v>
      </c>
      <c r="H199" s="40">
        <f t="shared" si="120"/>
        <v>52245</v>
      </c>
      <c r="I199" s="40">
        <f t="shared" si="120"/>
        <v>149739.44444444444</v>
      </c>
      <c r="J199" s="40">
        <f t="shared" si="120"/>
        <v>152422.77777777778</v>
      </c>
      <c r="K199" s="40">
        <f t="shared" si="120"/>
        <v>154658.88888888888</v>
      </c>
      <c r="L199" s="40">
        <f t="shared" si="120"/>
        <v>156447.77777777775</v>
      </c>
      <c r="M199" s="40">
        <f t="shared" si="120"/>
        <v>157789.44444444444</v>
      </c>
      <c r="N199" s="40">
        <f t="shared" si="120"/>
        <v>158683.88888888888</v>
      </c>
      <c r="O199" s="40">
        <f t="shared" si="120"/>
        <v>159131.1111111111</v>
      </c>
      <c r="P199" s="40">
        <f t="shared" si="120"/>
        <v>159131.1111111111</v>
      </c>
      <c r="Q199" s="40">
        <f t="shared" si="120"/>
        <v>158683.88888888888</v>
      </c>
      <c r="R199" s="40">
        <f t="shared" si="120"/>
        <v>157789.44444444444</v>
      </c>
      <c r="S199" s="40">
        <f t="shared" si="120"/>
        <v>156447.77777777775</v>
      </c>
      <c r="T199" s="40">
        <f t="shared" si="120"/>
        <v>154658.88888888888</v>
      </c>
      <c r="U199" s="40">
        <f t="shared" si="120"/>
        <v>152422.77777777775</v>
      </c>
      <c r="V199" s="40">
        <f t="shared" si="120"/>
        <v>149739.4444444444</v>
      </c>
      <c r="W199" s="40">
        <f t="shared" si="120"/>
        <v>146608.88888888888</v>
      </c>
      <c r="X199" s="40">
        <f t="shared" si="120"/>
        <v>143031.11111111107</v>
      </c>
      <c r="Y199" s="40">
        <f t="shared" si="120"/>
        <v>139006.11111111107</v>
      </c>
      <c r="Z199" s="40">
        <f t="shared" si="120"/>
        <v>134533.88888888885</v>
      </c>
      <c r="AA199" s="40">
        <f>SUM(AA197:AA197)</f>
        <v>2032960.416666666</v>
      </c>
    </row>
    <row r="201" spans="1:27" ht="15">
      <c r="A201" t="s">
        <v>32</v>
      </c>
      <c r="B201" s="38" t="s">
        <v>23</v>
      </c>
      <c r="C201" s="39">
        <v>770000</v>
      </c>
      <c r="D201" s="39" t="s">
        <v>57</v>
      </c>
      <c r="E201" s="39">
        <v>0</v>
      </c>
      <c r="F201" s="39">
        <f>0.25*C201</f>
        <v>192500</v>
      </c>
      <c r="G201" s="39">
        <f>0.5*C201</f>
        <v>385000</v>
      </c>
      <c r="H201" s="39">
        <f>0.25*C201</f>
        <v>192500</v>
      </c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</row>
    <row r="202" spans="2:27" ht="15">
      <c r="B202" s="32"/>
      <c r="C202" s="32"/>
      <c r="D202" s="39" t="s">
        <v>83</v>
      </c>
      <c r="E202" s="39">
        <v>0</v>
      </c>
      <c r="F202" s="39">
        <f>F201</f>
        <v>192500</v>
      </c>
      <c r="G202" s="39">
        <f>F201+G201</f>
        <v>577500</v>
      </c>
      <c r="H202" s="39">
        <f>F201+G201+H201</f>
        <v>770000</v>
      </c>
      <c r="I202" s="39">
        <f>H202-$H202/18</f>
        <v>727222.2222222222</v>
      </c>
      <c r="J202" s="39">
        <f aca="true" t="shared" si="121" ref="J202:Z202">I202-$H202/18</f>
        <v>684444.4444444445</v>
      </c>
      <c r="K202" s="39">
        <f t="shared" si="121"/>
        <v>641666.6666666667</v>
      </c>
      <c r="L202" s="39">
        <f t="shared" si="121"/>
        <v>598888.888888889</v>
      </c>
      <c r="M202" s="39">
        <f t="shared" si="121"/>
        <v>556111.1111111112</v>
      </c>
      <c r="N202" s="39">
        <f t="shared" si="121"/>
        <v>513333.3333333335</v>
      </c>
      <c r="O202" s="39">
        <f t="shared" si="121"/>
        <v>470555.55555555574</v>
      </c>
      <c r="P202" s="39">
        <f t="shared" si="121"/>
        <v>427777.777777778</v>
      </c>
      <c r="Q202" s="39">
        <f t="shared" si="121"/>
        <v>385000.00000000023</v>
      </c>
      <c r="R202" s="39">
        <f t="shared" si="121"/>
        <v>342222.2222222225</v>
      </c>
      <c r="S202" s="39">
        <f t="shared" si="121"/>
        <v>299444.4444444447</v>
      </c>
      <c r="T202" s="39">
        <f t="shared" si="121"/>
        <v>256666.66666666695</v>
      </c>
      <c r="U202" s="39">
        <f t="shared" si="121"/>
        <v>213888.88888888917</v>
      </c>
      <c r="V202" s="39">
        <f t="shared" si="121"/>
        <v>171111.1111111114</v>
      </c>
      <c r="W202" s="39">
        <f t="shared" si="121"/>
        <v>128333.3333333336</v>
      </c>
      <c r="X202" s="39">
        <f t="shared" si="121"/>
        <v>85555.55555555582</v>
      </c>
      <c r="Y202" s="39">
        <f t="shared" si="121"/>
        <v>42777.77777777804</v>
      </c>
      <c r="Z202" s="39">
        <f t="shared" si="121"/>
        <v>2.6193447411060333E-10</v>
      </c>
      <c r="AA202" s="39"/>
    </row>
    <row r="203" spans="2:27" ht="15">
      <c r="B203" s="32"/>
      <c r="C203" s="32"/>
      <c r="D203" s="39" t="s">
        <v>84</v>
      </c>
      <c r="E203" s="39">
        <v>0</v>
      </c>
      <c r="F203" s="39">
        <f>$E$6*E202</f>
        <v>0</v>
      </c>
      <c r="G203" s="39">
        <f>F202*$F$6</f>
        <v>1443.75</v>
      </c>
      <c r="H203" s="39">
        <f>G202*$G$6</f>
        <v>5775</v>
      </c>
      <c r="I203" s="39">
        <f>H202*$H$6</f>
        <v>9625</v>
      </c>
      <c r="J203" s="39">
        <f>I202*$I$6</f>
        <v>10908.333333333334</v>
      </c>
      <c r="K203" s="39">
        <f>J202*$J$6</f>
        <v>11977.77777777778</v>
      </c>
      <c r="L203" s="39">
        <f>K202*$K$6</f>
        <v>12833.333333333336</v>
      </c>
      <c r="M203" s="39">
        <f>L202*$L$6</f>
        <v>13475.000000000002</v>
      </c>
      <c r="N203" s="39">
        <f>M202*$M$6</f>
        <v>13902.77777777778</v>
      </c>
      <c r="O203" s="39">
        <f>N202*$N$6</f>
        <v>14116.66666666667</v>
      </c>
      <c r="P203" s="39">
        <f>O202*$O$6</f>
        <v>14116.66666666667</v>
      </c>
      <c r="Q203" s="39">
        <f>P202*$P$6</f>
        <v>13902.777777777783</v>
      </c>
      <c r="R203" s="39">
        <f>Q202*$Q$6</f>
        <v>13475.000000000007</v>
      </c>
      <c r="S203" s="39">
        <f>R202*$R$6</f>
        <v>12833.333333333343</v>
      </c>
      <c r="T203" s="39">
        <f>S202*$S$6</f>
        <v>11977.77777777779</v>
      </c>
      <c r="U203" s="39">
        <f>T202*$T$6</f>
        <v>10908.333333333347</v>
      </c>
      <c r="V203" s="39">
        <f>U202*$U$6</f>
        <v>9625.000000000015</v>
      </c>
      <c r="W203" s="39">
        <f>V202*$V$6</f>
        <v>8127.777777777792</v>
      </c>
      <c r="X203" s="39">
        <f>W202*$W$6</f>
        <v>6416.6666666666815</v>
      </c>
      <c r="Y203" s="39">
        <f>X202*$X$6</f>
        <v>4491.6666666666815</v>
      </c>
      <c r="Z203" s="39">
        <f>Y202*$Y$6</f>
        <v>2352.777777777793</v>
      </c>
      <c r="AA203" s="39">
        <f>SUM(E203:Z203)</f>
        <v>202285.4166666668</v>
      </c>
    </row>
    <row r="204" spans="2:27" ht="15">
      <c r="B204" s="32"/>
      <c r="C204" s="32"/>
      <c r="D204" s="39" t="s">
        <v>85</v>
      </c>
      <c r="E204" s="39">
        <v>0</v>
      </c>
      <c r="F204" s="39">
        <v>0</v>
      </c>
      <c r="G204" s="39">
        <v>0</v>
      </c>
      <c r="H204" s="39"/>
      <c r="I204" s="39">
        <f>$H202/18</f>
        <v>42777.77777777778</v>
      </c>
      <c r="J204" s="39">
        <f aca="true" t="shared" si="122" ref="J204:Z204">$H202/18</f>
        <v>42777.77777777778</v>
      </c>
      <c r="K204" s="39">
        <f t="shared" si="122"/>
        <v>42777.77777777778</v>
      </c>
      <c r="L204" s="39">
        <f t="shared" si="122"/>
        <v>42777.77777777778</v>
      </c>
      <c r="M204" s="39">
        <f t="shared" si="122"/>
        <v>42777.77777777778</v>
      </c>
      <c r="N204" s="39">
        <f t="shared" si="122"/>
        <v>42777.77777777778</v>
      </c>
      <c r="O204" s="39">
        <f t="shared" si="122"/>
        <v>42777.77777777778</v>
      </c>
      <c r="P204" s="39">
        <f t="shared" si="122"/>
        <v>42777.77777777778</v>
      </c>
      <c r="Q204" s="39">
        <f t="shared" si="122"/>
        <v>42777.77777777778</v>
      </c>
      <c r="R204" s="39">
        <f t="shared" si="122"/>
        <v>42777.77777777778</v>
      </c>
      <c r="S204" s="39">
        <f t="shared" si="122"/>
        <v>42777.77777777778</v>
      </c>
      <c r="T204" s="39">
        <f t="shared" si="122"/>
        <v>42777.77777777778</v>
      </c>
      <c r="U204" s="39">
        <f t="shared" si="122"/>
        <v>42777.77777777778</v>
      </c>
      <c r="V204" s="39">
        <f t="shared" si="122"/>
        <v>42777.77777777778</v>
      </c>
      <c r="W204" s="39">
        <f t="shared" si="122"/>
        <v>42777.77777777778</v>
      </c>
      <c r="X204" s="39">
        <f t="shared" si="122"/>
        <v>42777.77777777778</v>
      </c>
      <c r="Y204" s="39">
        <f t="shared" si="122"/>
        <v>42777.77777777778</v>
      </c>
      <c r="Z204" s="39">
        <f t="shared" si="122"/>
        <v>42777.77777777778</v>
      </c>
      <c r="AA204" s="39">
        <f>SUM(E204:Z204)</f>
        <v>769999.9999999998</v>
      </c>
    </row>
    <row r="205" spans="2:27" ht="15">
      <c r="B205" s="32"/>
      <c r="C205" s="32"/>
      <c r="D205" s="39" t="s">
        <v>86</v>
      </c>
      <c r="E205" s="39">
        <v>0</v>
      </c>
      <c r="F205" s="39">
        <f>F203+F204</f>
        <v>0</v>
      </c>
      <c r="G205" s="39">
        <f aca="true" t="shared" si="123" ref="G205:Z205">G203+G204</f>
        <v>1443.75</v>
      </c>
      <c r="H205" s="39">
        <f t="shared" si="123"/>
        <v>5775</v>
      </c>
      <c r="I205" s="39">
        <f t="shared" si="123"/>
        <v>52402.77777777778</v>
      </c>
      <c r="J205" s="39">
        <f t="shared" si="123"/>
        <v>53686.11111111112</v>
      </c>
      <c r="K205" s="39">
        <f t="shared" si="123"/>
        <v>54755.55555555556</v>
      </c>
      <c r="L205" s="39">
        <f t="shared" si="123"/>
        <v>55611.11111111112</v>
      </c>
      <c r="M205" s="39">
        <f t="shared" si="123"/>
        <v>56252.77777777778</v>
      </c>
      <c r="N205" s="39">
        <f t="shared" si="123"/>
        <v>56680.55555555556</v>
      </c>
      <c r="O205" s="39">
        <f t="shared" si="123"/>
        <v>56894.44444444445</v>
      </c>
      <c r="P205" s="39">
        <f t="shared" si="123"/>
        <v>56894.44444444445</v>
      </c>
      <c r="Q205" s="39">
        <f t="shared" si="123"/>
        <v>56680.55555555556</v>
      </c>
      <c r="R205" s="39">
        <f t="shared" si="123"/>
        <v>56252.77777777779</v>
      </c>
      <c r="S205" s="39">
        <f t="shared" si="123"/>
        <v>55611.111111111124</v>
      </c>
      <c r="T205" s="39">
        <f t="shared" si="123"/>
        <v>54755.55555555557</v>
      </c>
      <c r="U205" s="39">
        <f t="shared" si="123"/>
        <v>53686.111111111124</v>
      </c>
      <c r="V205" s="39">
        <f t="shared" si="123"/>
        <v>52402.777777777796</v>
      </c>
      <c r="W205" s="39">
        <f t="shared" si="123"/>
        <v>50905.55555555558</v>
      </c>
      <c r="X205" s="39">
        <f t="shared" si="123"/>
        <v>49194.44444444446</v>
      </c>
      <c r="Y205" s="39">
        <f t="shared" si="123"/>
        <v>47269.44444444446</v>
      </c>
      <c r="Z205" s="39">
        <f t="shared" si="123"/>
        <v>45130.55555555558</v>
      </c>
      <c r="AA205" s="40">
        <f>SUM(E205:Z205)</f>
        <v>972285.416666667</v>
      </c>
    </row>
    <row r="206" spans="2:27" ht="15">
      <c r="B206" s="32" t="s">
        <v>87</v>
      </c>
      <c r="C206" s="39">
        <f>C201+270000</f>
        <v>1040000</v>
      </c>
      <c r="D206" s="39" t="s">
        <v>88</v>
      </c>
      <c r="E206" s="39"/>
      <c r="F206" s="39"/>
      <c r="G206" s="39"/>
      <c r="H206" s="39">
        <f>$C$206*0.65*0.03</f>
        <v>20280</v>
      </c>
      <c r="I206" s="39">
        <f aca="true" t="shared" si="124" ref="I206:Z206">$C$206*0.65*0.03</f>
        <v>20280</v>
      </c>
      <c r="J206" s="39">
        <f t="shared" si="124"/>
        <v>20280</v>
      </c>
      <c r="K206" s="39">
        <f t="shared" si="124"/>
        <v>20280</v>
      </c>
      <c r="L206" s="39">
        <f t="shared" si="124"/>
        <v>20280</v>
      </c>
      <c r="M206" s="39">
        <f t="shared" si="124"/>
        <v>20280</v>
      </c>
      <c r="N206" s="39">
        <f t="shared" si="124"/>
        <v>20280</v>
      </c>
      <c r="O206" s="39">
        <f t="shared" si="124"/>
        <v>20280</v>
      </c>
      <c r="P206" s="39">
        <f t="shared" si="124"/>
        <v>20280</v>
      </c>
      <c r="Q206" s="39">
        <f t="shared" si="124"/>
        <v>20280</v>
      </c>
      <c r="R206" s="39">
        <f t="shared" si="124"/>
        <v>20280</v>
      </c>
      <c r="S206" s="39">
        <f t="shared" si="124"/>
        <v>20280</v>
      </c>
      <c r="T206" s="39">
        <f t="shared" si="124"/>
        <v>20280</v>
      </c>
      <c r="U206" s="39">
        <f t="shared" si="124"/>
        <v>20280</v>
      </c>
      <c r="V206" s="39">
        <f t="shared" si="124"/>
        <v>20280</v>
      </c>
      <c r="W206" s="39">
        <f t="shared" si="124"/>
        <v>20280</v>
      </c>
      <c r="X206" s="39">
        <f t="shared" si="124"/>
        <v>20280</v>
      </c>
      <c r="Y206" s="39">
        <f t="shared" si="124"/>
        <v>20280</v>
      </c>
      <c r="Z206" s="39">
        <f t="shared" si="124"/>
        <v>20280</v>
      </c>
      <c r="AA206" s="40">
        <f>SUM(E206:Z206)</f>
        <v>385320</v>
      </c>
    </row>
    <row r="207" spans="2:27" ht="15">
      <c r="B207" s="32"/>
      <c r="C207" s="32"/>
      <c r="D207" s="40" t="s">
        <v>80</v>
      </c>
      <c r="E207" s="40">
        <f>SUM(E205:E206)</f>
        <v>0</v>
      </c>
      <c r="F207" s="40">
        <f aca="true" t="shared" si="125" ref="F207:Z207">SUM(F205:F206)</f>
        <v>0</v>
      </c>
      <c r="G207" s="40">
        <f t="shared" si="125"/>
        <v>1443.75</v>
      </c>
      <c r="H207" s="40">
        <f t="shared" si="125"/>
        <v>26055</v>
      </c>
      <c r="I207" s="40">
        <f t="shared" si="125"/>
        <v>72682.77777777778</v>
      </c>
      <c r="J207" s="40">
        <f t="shared" si="125"/>
        <v>73966.11111111112</v>
      </c>
      <c r="K207" s="40">
        <f t="shared" si="125"/>
        <v>75035.55555555556</v>
      </c>
      <c r="L207" s="40">
        <f t="shared" si="125"/>
        <v>75891.11111111112</v>
      </c>
      <c r="M207" s="40">
        <f t="shared" si="125"/>
        <v>76532.77777777778</v>
      </c>
      <c r="N207" s="40">
        <f t="shared" si="125"/>
        <v>76960.55555555556</v>
      </c>
      <c r="O207" s="40">
        <f t="shared" si="125"/>
        <v>77174.44444444445</v>
      </c>
      <c r="P207" s="40">
        <f t="shared" si="125"/>
        <v>77174.44444444445</v>
      </c>
      <c r="Q207" s="40">
        <f t="shared" si="125"/>
        <v>76960.55555555556</v>
      </c>
      <c r="R207" s="40">
        <f t="shared" si="125"/>
        <v>76532.77777777778</v>
      </c>
      <c r="S207" s="40">
        <f t="shared" si="125"/>
        <v>75891.11111111112</v>
      </c>
      <c r="T207" s="40">
        <f t="shared" si="125"/>
        <v>75035.55555555556</v>
      </c>
      <c r="U207" s="40">
        <f t="shared" si="125"/>
        <v>73966.11111111112</v>
      </c>
      <c r="V207" s="40">
        <f t="shared" si="125"/>
        <v>72682.7777777778</v>
      </c>
      <c r="W207" s="40">
        <f t="shared" si="125"/>
        <v>71185.55555555558</v>
      </c>
      <c r="X207" s="40">
        <f t="shared" si="125"/>
        <v>69474.44444444447</v>
      </c>
      <c r="Y207" s="40">
        <f t="shared" si="125"/>
        <v>67549.44444444447</v>
      </c>
      <c r="Z207" s="40">
        <f t="shared" si="125"/>
        <v>65410.55555555558</v>
      </c>
      <c r="AA207" s="40">
        <f>SUM(AA205:AA205)</f>
        <v>972285.416666667</v>
      </c>
    </row>
    <row r="209" spans="1:27" ht="15">
      <c r="A209" t="s">
        <v>33</v>
      </c>
      <c r="B209" s="38" t="s">
        <v>24</v>
      </c>
      <c r="C209" s="39">
        <v>1170000</v>
      </c>
      <c r="D209" s="39" t="s">
        <v>57</v>
      </c>
      <c r="E209" s="39">
        <v>0</v>
      </c>
      <c r="F209" s="39">
        <f>0.25*C209</f>
        <v>292500</v>
      </c>
      <c r="G209" s="39">
        <f>0.5*C209</f>
        <v>585000</v>
      </c>
      <c r="H209" s="39">
        <f>0.25*C209</f>
        <v>292500</v>
      </c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</row>
    <row r="210" spans="2:27" ht="15">
      <c r="B210" s="32"/>
      <c r="C210" s="32"/>
      <c r="D210" s="39" t="s">
        <v>83</v>
      </c>
      <c r="E210" s="39">
        <v>0</v>
      </c>
      <c r="F210" s="39">
        <f>F209</f>
        <v>292500</v>
      </c>
      <c r="G210" s="39">
        <f>F209+G209</f>
        <v>877500</v>
      </c>
      <c r="H210" s="39">
        <f>F209+G209+H209</f>
        <v>1170000</v>
      </c>
      <c r="I210" s="39">
        <f>H210-$H210/18</f>
        <v>1105000</v>
      </c>
      <c r="J210" s="39">
        <f aca="true" t="shared" si="126" ref="J210:Z210">I210-$H210/18</f>
        <v>1040000</v>
      </c>
      <c r="K210" s="39">
        <f t="shared" si="126"/>
        <v>975000</v>
      </c>
      <c r="L210" s="39">
        <f t="shared" si="126"/>
        <v>910000</v>
      </c>
      <c r="M210" s="39">
        <f t="shared" si="126"/>
        <v>845000</v>
      </c>
      <c r="N210" s="39">
        <f t="shared" si="126"/>
        <v>780000</v>
      </c>
      <c r="O210" s="39">
        <f t="shared" si="126"/>
        <v>715000</v>
      </c>
      <c r="P210" s="39">
        <f t="shared" si="126"/>
        <v>650000</v>
      </c>
      <c r="Q210" s="39">
        <f t="shared" si="126"/>
        <v>585000</v>
      </c>
      <c r="R210" s="39">
        <f t="shared" si="126"/>
        <v>520000</v>
      </c>
      <c r="S210" s="39">
        <f t="shared" si="126"/>
        <v>455000</v>
      </c>
      <c r="T210" s="39">
        <f t="shared" si="126"/>
        <v>390000</v>
      </c>
      <c r="U210" s="39">
        <f t="shared" si="126"/>
        <v>325000</v>
      </c>
      <c r="V210" s="39">
        <f t="shared" si="126"/>
        <v>260000</v>
      </c>
      <c r="W210" s="39">
        <f t="shared" si="126"/>
        <v>195000</v>
      </c>
      <c r="X210" s="39">
        <f t="shared" si="126"/>
        <v>130000</v>
      </c>
      <c r="Y210" s="39">
        <f t="shared" si="126"/>
        <v>65000</v>
      </c>
      <c r="Z210" s="39">
        <f t="shared" si="126"/>
        <v>0</v>
      </c>
      <c r="AA210" s="39"/>
    </row>
    <row r="211" spans="2:27" ht="15">
      <c r="B211" s="32"/>
      <c r="C211" s="32"/>
      <c r="D211" s="39" t="s">
        <v>84</v>
      </c>
      <c r="E211" s="39">
        <v>0</v>
      </c>
      <c r="F211" s="39">
        <f>$E$6*E210</f>
        <v>0</v>
      </c>
      <c r="G211" s="39">
        <f>F210*$F$6</f>
        <v>2193.75</v>
      </c>
      <c r="H211" s="39">
        <f>G210*$G$6</f>
        <v>8775</v>
      </c>
      <c r="I211" s="39">
        <f>H210*$H$6</f>
        <v>14625</v>
      </c>
      <c r="J211" s="39">
        <f>I210*$I$6</f>
        <v>16575</v>
      </c>
      <c r="K211" s="39">
        <f>J210*$J$6</f>
        <v>18200</v>
      </c>
      <c r="L211" s="39">
        <f>K210*$K$6</f>
        <v>19500</v>
      </c>
      <c r="M211" s="39">
        <f>L210*$L$6</f>
        <v>20475</v>
      </c>
      <c r="N211" s="39">
        <f>M210*$M$6</f>
        <v>21125</v>
      </c>
      <c r="O211" s="39">
        <f>N210*$N$6</f>
        <v>21449.999999999996</v>
      </c>
      <c r="P211" s="39">
        <f>O210*$O$6</f>
        <v>21449.999999999996</v>
      </c>
      <c r="Q211" s="39">
        <f>P210*$P$6</f>
        <v>21124.999999999996</v>
      </c>
      <c r="R211" s="39">
        <f>Q210*$Q$6</f>
        <v>20474.999999999996</v>
      </c>
      <c r="S211" s="39">
        <f>R210*$R$6</f>
        <v>19500</v>
      </c>
      <c r="T211" s="39">
        <f>S210*$S$6</f>
        <v>18200</v>
      </c>
      <c r="U211" s="39">
        <f>T210*$T$6</f>
        <v>16575</v>
      </c>
      <c r="V211" s="39">
        <f>U210*$U$6</f>
        <v>14625.000000000002</v>
      </c>
      <c r="W211" s="39">
        <f>V210*$V$6</f>
        <v>12350.000000000002</v>
      </c>
      <c r="X211" s="39">
        <f>W210*$W$6</f>
        <v>9750.000000000002</v>
      </c>
      <c r="Y211" s="39">
        <f>X210*$X$6</f>
        <v>6825.000000000002</v>
      </c>
      <c r="Z211" s="39">
        <f>Y210*$Y$6</f>
        <v>3575.000000000001</v>
      </c>
      <c r="AA211" s="39">
        <f>SUM(E211:Z211)</f>
        <v>307368.75</v>
      </c>
    </row>
    <row r="212" spans="2:27" ht="15">
      <c r="B212" s="32"/>
      <c r="C212" s="32"/>
      <c r="D212" s="39" t="s">
        <v>85</v>
      </c>
      <c r="E212" s="39">
        <v>0</v>
      </c>
      <c r="F212" s="39">
        <v>0</v>
      </c>
      <c r="G212" s="39">
        <v>0</v>
      </c>
      <c r="H212" s="39"/>
      <c r="I212" s="39">
        <f>$H210/18</f>
        <v>65000</v>
      </c>
      <c r="J212" s="39">
        <f aca="true" t="shared" si="127" ref="J212:Z212">$H210/18</f>
        <v>65000</v>
      </c>
      <c r="K212" s="39">
        <f t="shared" si="127"/>
        <v>65000</v>
      </c>
      <c r="L212" s="39">
        <f t="shared" si="127"/>
        <v>65000</v>
      </c>
      <c r="M212" s="39">
        <f t="shared" si="127"/>
        <v>65000</v>
      </c>
      <c r="N212" s="39">
        <f t="shared" si="127"/>
        <v>65000</v>
      </c>
      <c r="O212" s="39">
        <f t="shared" si="127"/>
        <v>65000</v>
      </c>
      <c r="P212" s="39">
        <f t="shared" si="127"/>
        <v>65000</v>
      </c>
      <c r="Q212" s="39">
        <f t="shared" si="127"/>
        <v>65000</v>
      </c>
      <c r="R212" s="39">
        <f t="shared" si="127"/>
        <v>65000</v>
      </c>
      <c r="S212" s="39">
        <f t="shared" si="127"/>
        <v>65000</v>
      </c>
      <c r="T212" s="39">
        <f t="shared" si="127"/>
        <v>65000</v>
      </c>
      <c r="U212" s="39">
        <f t="shared" si="127"/>
        <v>65000</v>
      </c>
      <c r="V212" s="39">
        <f t="shared" si="127"/>
        <v>65000</v>
      </c>
      <c r="W212" s="39">
        <f t="shared" si="127"/>
        <v>65000</v>
      </c>
      <c r="X212" s="39">
        <f t="shared" si="127"/>
        <v>65000</v>
      </c>
      <c r="Y212" s="39">
        <f t="shared" si="127"/>
        <v>65000</v>
      </c>
      <c r="Z212" s="39">
        <f t="shared" si="127"/>
        <v>65000</v>
      </c>
      <c r="AA212" s="39">
        <f>SUM(E212:Z212)</f>
        <v>1170000</v>
      </c>
    </row>
    <row r="213" spans="2:27" ht="15">
      <c r="B213" s="32"/>
      <c r="C213" s="32"/>
      <c r="D213" s="39" t="s">
        <v>86</v>
      </c>
      <c r="E213" s="39">
        <v>0</v>
      </c>
      <c r="F213" s="39">
        <f>F211+F212</f>
        <v>0</v>
      </c>
      <c r="G213" s="39">
        <f aca="true" t="shared" si="128" ref="G213:Z213">G211+G212</f>
        <v>2193.75</v>
      </c>
      <c r="H213" s="39">
        <f t="shared" si="128"/>
        <v>8775</v>
      </c>
      <c r="I213" s="39">
        <f t="shared" si="128"/>
        <v>79625</v>
      </c>
      <c r="J213" s="39">
        <f t="shared" si="128"/>
        <v>81575</v>
      </c>
      <c r="K213" s="39">
        <f t="shared" si="128"/>
        <v>83200</v>
      </c>
      <c r="L213" s="39">
        <f t="shared" si="128"/>
        <v>84500</v>
      </c>
      <c r="M213" s="39">
        <f t="shared" si="128"/>
        <v>85475</v>
      </c>
      <c r="N213" s="39">
        <f t="shared" si="128"/>
        <v>86125</v>
      </c>
      <c r="O213" s="39">
        <f t="shared" si="128"/>
        <v>86450</v>
      </c>
      <c r="P213" s="39">
        <f t="shared" si="128"/>
        <v>86450</v>
      </c>
      <c r="Q213" s="39">
        <f t="shared" si="128"/>
        <v>86125</v>
      </c>
      <c r="R213" s="39">
        <f t="shared" si="128"/>
        <v>85475</v>
      </c>
      <c r="S213" s="39">
        <f t="shared" si="128"/>
        <v>84500</v>
      </c>
      <c r="T213" s="39">
        <f t="shared" si="128"/>
        <v>83200</v>
      </c>
      <c r="U213" s="39">
        <f t="shared" si="128"/>
        <v>81575</v>
      </c>
      <c r="V213" s="39">
        <f t="shared" si="128"/>
        <v>79625</v>
      </c>
      <c r="W213" s="39">
        <f t="shared" si="128"/>
        <v>77350</v>
      </c>
      <c r="X213" s="39">
        <f t="shared" si="128"/>
        <v>74750</v>
      </c>
      <c r="Y213" s="39">
        <f t="shared" si="128"/>
        <v>71825</v>
      </c>
      <c r="Z213" s="39">
        <f t="shared" si="128"/>
        <v>68575</v>
      </c>
      <c r="AA213" s="40">
        <f>SUM(E213:Z213)</f>
        <v>1477368.75</v>
      </c>
    </row>
    <row r="214" spans="2:27" ht="15">
      <c r="B214" s="32" t="s">
        <v>87</v>
      </c>
      <c r="C214" s="39">
        <f>C209+410000</f>
        <v>1580000</v>
      </c>
      <c r="D214" s="39" t="s">
        <v>88</v>
      </c>
      <c r="E214" s="39"/>
      <c r="F214" s="39"/>
      <c r="G214" s="39"/>
      <c r="H214" s="39">
        <f>$C$214*0.65*0.03</f>
        <v>30810</v>
      </c>
      <c r="I214" s="39">
        <f aca="true" t="shared" si="129" ref="I214:Z214">$C$214*0.65*0.03</f>
        <v>30810</v>
      </c>
      <c r="J214" s="39">
        <f t="shared" si="129"/>
        <v>30810</v>
      </c>
      <c r="K214" s="39">
        <f t="shared" si="129"/>
        <v>30810</v>
      </c>
      <c r="L214" s="39">
        <f t="shared" si="129"/>
        <v>30810</v>
      </c>
      <c r="M214" s="39">
        <f t="shared" si="129"/>
        <v>30810</v>
      </c>
      <c r="N214" s="39">
        <f t="shared" si="129"/>
        <v>30810</v>
      </c>
      <c r="O214" s="39">
        <f t="shared" si="129"/>
        <v>30810</v>
      </c>
      <c r="P214" s="39">
        <f t="shared" si="129"/>
        <v>30810</v>
      </c>
      <c r="Q214" s="39">
        <f t="shared" si="129"/>
        <v>30810</v>
      </c>
      <c r="R214" s="39">
        <f t="shared" si="129"/>
        <v>30810</v>
      </c>
      <c r="S214" s="39">
        <f t="shared" si="129"/>
        <v>30810</v>
      </c>
      <c r="T214" s="39">
        <f t="shared" si="129"/>
        <v>30810</v>
      </c>
      <c r="U214" s="39">
        <f t="shared" si="129"/>
        <v>30810</v>
      </c>
      <c r="V214" s="39">
        <f t="shared" si="129"/>
        <v>30810</v>
      </c>
      <c r="W214" s="39">
        <f t="shared" si="129"/>
        <v>30810</v>
      </c>
      <c r="X214" s="39">
        <f t="shared" si="129"/>
        <v>30810</v>
      </c>
      <c r="Y214" s="39">
        <f t="shared" si="129"/>
        <v>30810</v>
      </c>
      <c r="Z214" s="39">
        <f t="shared" si="129"/>
        <v>30810</v>
      </c>
      <c r="AA214" s="40">
        <f>SUM(E214:Z214)</f>
        <v>585390</v>
      </c>
    </row>
    <row r="215" spans="2:27" ht="15">
      <c r="B215" s="32"/>
      <c r="C215" s="32"/>
      <c r="D215" s="40" t="s">
        <v>80</v>
      </c>
      <c r="E215" s="40">
        <f>SUM(E213:E214)</f>
        <v>0</v>
      </c>
      <c r="F215" s="40">
        <f aca="true" t="shared" si="130" ref="F215:Z215">SUM(F213:F214)</f>
        <v>0</v>
      </c>
      <c r="G215" s="40">
        <f t="shared" si="130"/>
        <v>2193.75</v>
      </c>
      <c r="H215" s="40">
        <f t="shared" si="130"/>
        <v>39585</v>
      </c>
      <c r="I215" s="40">
        <f t="shared" si="130"/>
        <v>110435</v>
      </c>
      <c r="J215" s="40">
        <f t="shared" si="130"/>
        <v>112385</v>
      </c>
      <c r="K215" s="40">
        <f t="shared" si="130"/>
        <v>114010</v>
      </c>
      <c r="L215" s="40">
        <f t="shared" si="130"/>
        <v>115310</v>
      </c>
      <c r="M215" s="40">
        <f t="shared" si="130"/>
        <v>116285</v>
      </c>
      <c r="N215" s="40">
        <f t="shared" si="130"/>
        <v>116935</v>
      </c>
      <c r="O215" s="40">
        <f t="shared" si="130"/>
        <v>117260</v>
      </c>
      <c r="P215" s="40">
        <f t="shared" si="130"/>
        <v>117260</v>
      </c>
      <c r="Q215" s="40">
        <f t="shared" si="130"/>
        <v>116935</v>
      </c>
      <c r="R215" s="40">
        <f t="shared" si="130"/>
        <v>116285</v>
      </c>
      <c r="S215" s="40">
        <f t="shared" si="130"/>
        <v>115310</v>
      </c>
      <c r="T215" s="40">
        <f t="shared" si="130"/>
        <v>114010</v>
      </c>
      <c r="U215" s="40">
        <f t="shared" si="130"/>
        <v>112385</v>
      </c>
      <c r="V215" s="40">
        <f t="shared" si="130"/>
        <v>110435</v>
      </c>
      <c r="W215" s="40">
        <f t="shared" si="130"/>
        <v>108160</v>
      </c>
      <c r="X215" s="40">
        <f t="shared" si="130"/>
        <v>105560</v>
      </c>
      <c r="Y215" s="40">
        <f t="shared" si="130"/>
        <v>102635</v>
      </c>
      <c r="Z215" s="40">
        <f t="shared" si="130"/>
        <v>99385</v>
      </c>
      <c r="AA215" s="40">
        <f>SUM(AA213:AA213)</f>
        <v>1477368.75</v>
      </c>
    </row>
    <row r="217" spans="1:27" ht="15">
      <c r="A217" t="s">
        <v>32</v>
      </c>
      <c r="B217" s="38" t="s">
        <v>25</v>
      </c>
      <c r="C217" s="39">
        <v>1320000</v>
      </c>
      <c r="D217" s="39" t="s">
        <v>57</v>
      </c>
      <c r="E217" s="39">
        <v>0</v>
      </c>
      <c r="F217" s="39">
        <f>0.25*C217</f>
        <v>330000</v>
      </c>
      <c r="G217" s="39">
        <f>0.5*C217</f>
        <v>660000</v>
      </c>
      <c r="H217" s="39">
        <f>0.25*C217</f>
        <v>330000</v>
      </c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</row>
    <row r="218" spans="2:27" ht="15">
      <c r="B218" s="32"/>
      <c r="C218" s="32"/>
      <c r="D218" s="39" t="s">
        <v>83</v>
      </c>
      <c r="E218" s="39">
        <v>0</v>
      </c>
      <c r="F218" s="39">
        <f>F217</f>
        <v>330000</v>
      </c>
      <c r="G218" s="39">
        <f>F217+G217</f>
        <v>990000</v>
      </c>
      <c r="H218" s="39">
        <f>F217+G217+H217</f>
        <v>1320000</v>
      </c>
      <c r="I218" s="39">
        <f>H218-$H218/18</f>
        <v>1246666.6666666667</v>
      </c>
      <c r="J218" s="39">
        <f aca="true" t="shared" si="131" ref="J218:Z218">I218-$H218/18</f>
        <v>1173333.3333333335</v>
      </c>
      <c r="K218" s="39">
        <f t="shared" si="131"/>
        <v>1100000.0000000002</v>
      </c>
      <c r="L218" s="39">
        <f t="shared" si="131"/>
        <v>1026666.6666666669</v>
      </c>
      <c r="M218" s="39">
        <f t="shared" si="131"/>
        <v>953333.3333333335</v>
      </c>
      <c r="N218" s="39">
        <f t="shared" si="131"/>
        <v>880000.0000000001</v>
      </c>
      <c r="O218" s="39">
        <f t="shared" si="131"/>
        <v>806666.6666666667</v>
      </c>
      <c r="P218" s="39">
        <f t="shared" si="131"/>
        <v>733333.3333333334</v>
      </c>
      <c r="Q218" s="39">
        <f t="shared" si="131"/>
        <v>660000</v>
      </c>
      <c r="R218" s="39">
        <f t="shared" si="131"/>
        <v>586666.6666666666</v>
      </c>
      <c r="S218" s="39">
        <f t="shared" si="131"/>
        <v>513333.3333333333</v>
      </c>
      <c r="T218" s="39">
        <f t="shared" si="131"/>
        <v>440000</v>
      </c>
      <c r="U218" s="39">
        <f t="shared" si="131"/>
        <v>366666.6666666667</v>
      </c>
      <c r="V218" s="39">
        <f t="shared" si="131"/>
        <v>293333.3333333334</v>
      </c>
      <c r="W218" s="39">
        <f t="shared" si="131"/>
        <v>220000.00000000006</v>
      </c>
      <c r="X218" s="39">
        <f t="shared" si="131"/>
        <v>146666.66666666674</v>
      </c>
      <c r="Y218" s="39">
        <f t="shared" si="131"/>
        <v>73333.33333333342</v>
      </c>
      <c r="Z218" s="39">
        <f t="shared" si="131"/>
        <v>0</v>
      </c>
      <c r="AA218" s="39"/>
    </row>
    <row r="219" spans="2:27" ht="15">
      <c r="B219" s="32"/>
      <c r="C219" s="32"/>
      <c r="D219" s="39" t="s">
        <v>84</v>
      </c>
      <c r="E219" s="39">
        <v>0</v>
      </c>
      <c r="F219" s="39">
        <f>$E$6*E218</f>
        <v>0</v>
      </c>
      <c r="G219" s="39">
        <f>F218*$F$6</f>
        <v>2475</v>
      </c>
      <c r="H219" s="39">
        <f>G218*$G$6</f>
        <v>9900</v>
      </c>
      <c r="I219" s="39">
        <f>H218*$H$6</f>
        <v>16500</v>
      </c>
      <c r="J219" s="39">
        <f>I218*$I$6</f>
        <v>18700.000000000004</v>
      </c>
      <c r="K219" s="39">
        <f>J218*$J$6</f>
        <v>20533.33333333334</v>
      </c>
      <c r="L219" s="39">
        <f>K218*$K$6</f>
        <v>22000.000000000004</v>
      </c>
      <c r="M219" s="39">
        <f>L218*$L$6</f>
        <v>23100.000000000004</v>
      </c>
      <c r="N219" s="39">
        <f>M218*$M$6</f>
        <v>23833.333333333336</v>
      </c>
      <c r="O219" s="39">
        <f>N218*$N$6</f>
        <v>24200</v>
      </c>
      <c r="P219" s="39">
        <f>O218*$O$6</f>
        <v>24200</v>
      </c>
      <c r="Q219" s="39">
        <f>P218*$P$6</f>
        <v>23833.333333333332</v>
      </c>
      <c r="R219" s="39">
        <f>Q218*$Q$6</f>
        <v>23099.999999999996</v>
      </c>
      <c r="S219" s="39">
        <f>R218*$R$6</f>
        <v>21999.999999999996</v>
      </c>
      <c r="T219" s="39">
        <f>S218*$S$6</f>
        <v>20533.333333333332</v>
      </c>
      <c r="U219" s="39">
        <f>T218*$T$6</f>
        <v>18700</v>
      </c>
      <c r="V219" s="39">
        <f>U218*$U$6</f>
        <v>16500.000000000004</v>
      </c>
      <c r="W219" s="39">
        <f>V218*$V$6</f>
        <v>13933.333333333338</v>
      </c>
      <c r="X219" s="39">
        <f>W218*$W$6</f>
        <v>11000.000000000005</v>
      </c>
      <c r="Y219" s="39">
        <f>X218*$X$6</f>
        <v>7700.0000000000055</v>
      </c>
      <c r="Z219" s="39">
        <f>Y218*$Y$6</f>
        <v>4033.333333333339</v>
      </c>
      <c r="AA219" s="39">
        <f>SUM(E219:Z219)</f>
        <v>346775</v>
      </c>
    </row>
    <row r="220" spans="2:27" ht="15">
      <c r="B220" s="32"/>
      <c r="C220" s="32"/>
      <c r="D220" s="39" t="s">
        <v>85</v>
      </c>
      <c r="E220" s="39">
        <v>0</v>
      </c>
      <c r="F220" s="39">
        <v>0</v>
      </c>
      <c r="G220" s="39">
        <v>0</v>
      </c>
      <c r="H220" s="39"/>
      <c r="I220" s="39">
        <f>$H218/18</f>
        <v>73333.33333333333</v>
      </c>
      <c r="J220" s="39">
        <f aca="true" t="shared" si="132" ref="J220:Z220">$H218/18</f>
        <v>73333.33333333333</v>
      </c>
      <c r="K220" s="39">
        <f t="shared" si="132"/>
        <v>73333.33333333333</v>
      </c>
      <c r="L220" s="39">
        <f t="shared" si="132"/>
        <v>73333.33333333333</v>
      </c>
      <c r="M220" s="39">
        <f t="shared" si="132"/>
        <v>73333.33333333333</v>
      </c>
      <c r="N220" s="39">
        <f t="shared" si="132"/>
        <v>73333.33333333333</v>
      </c>
      <c r="O220" s="39">
        <f t="shared" si="132"/>
        <v>73333.33333333333</v>
      </c>
      <c r="P220" s="39">
        <f t="shared" si="132"/>
        <v>73333.33333333333</v>
      </c>
      <c r="Q220" s="39">
        <f t="shared" si="132"/>
        <v>73333.33333333333</v>
      </c>
      <c r="R220" s="39">
        <f t="shared" si="132"/>
        <v>73333.33333333333</v>
      </c>
      <c r="S220" s="39">
        <f t="shared" si="132"/>
        <v>73333.33333333333</v>
      </c>
      <c r="T220" s="39">
        <f t="shared" si="132"/>
        <v>73333.33333333333</v>
      </c>
      <c r="U220" s="39">
        <f t="shared" si="132"/>
        <v>73333.33333333333</v>
      </c>
      <c r="V220" s="39">
        <f t="shared" si="132"/>
        <v>73333.33333333333</v>
      </c>
      <c r="W220" s="39">
        <f t="shared" si="132"/>
        <v>73333.33333333333</v>
      </c>
      <c r="X220" s="39">
        <f t="shared" si="132"/>
        <v>73333.33333333333</v>
      </c>
      <c r="Y220" s="39">
        <f t="shared" si="132"/>
        <v>73333.33333333333</v>
      </c>
      <c r="Z220" s="39">
        <f t="shared" si="132"/>
        <v>73333.33333333333</v>
      </c>
      <c r="AA220" s="39">
        <f>SUM(E220:Z220)</f>
        <v>1320000</v>
      </c>
    </row>
    <row r="221" spans="2:27" ht="15">
      <c r="B221" s="32"/>
      <c r="C221" s="32"/>
      <c r="D221" s="39" t="s">
        <v>86</v>
      </c>
      <c r="E221" s="39">
        <v>0</v>
      </c>
      <c r="F221" s="39">
        <f>F219+F220</f>
        <v>0</v>
      </c>
      <c r="G221" s="39">
        <f aca="true" t="shared" si="133" ref="G221:Z221">G219+G220</f>
        <v>2475</v>
      </c>
      <c r="H221" s="39">
        <f t="shared" si="133"/>
        <v>9900</v>
      </c>
      <c r="I221" s="39">
        <f t="shared" si="133"/>
        <v>89833.33333333333</v>
      </c>
      <c r="J221" s="39">
        <f t="shared" si="133"/>
        <v>92033.33333333333</v>
      </c>
      <c r="K221" s="39">
        <f t="shared" si="133"/>
        <v>93866.66666666667</v>
      </c>
      <c r="L221" s="39">
        <f t="shared" si="133"/>
        <v>95333.33333333333</v>
      </c>
      <c r="M221" s="39">
        <f t="shared" si="133"/>
        <v>96433.33333333333</v>
      </c>
      <c r="N221" s="39">
        <f t="shared" si="133"/>
        <v>97166.66666666666</v>
      </c>
      <c r="O221" s="39">
        <f t="shared" si="133"/>
        <v>97533.33333333333</v>
      </c>
      <c r="P221" s="39">
        <f t="shared" si="133"/>
        <v>97533.33333333333</v>
      </c>
      <c r="Q221" s="39">
        <f t="shared" si="133"/>
        <v>97166.66666666666</v>
      </c>
      <c r="R221" s="39">
        <f t="shared" si="133"/>
        <v>96433.33333333333</v>
      </c>
      <c r="S221" s="39">
        <f t="shared" si="133"/>
        <v>95333.33333333333</v>
      </c>
      <c r="T221" s="39">
        <f t="shared" si="133"/>
        <v>93866.66666666666</v>
      </c>
      <c r="U221" s="39">
        <f t="shared" si="133"/>
        <v>92033.33333333333</v>
      </c>
      <c r="V221" s="39">
        <f t="shared" si="133"/>
        <v>89833.33333333333</v>
      </c>
      <c r="W221" s="39">
        <f t="shared" si="133"/>
        <v>87266.66666666667</v>
      </c>
      <c r="X221" s="39">
        <f t="shared" si="133"/>
        <v>84333.33333333333</v>
      </c>
      <c r="Y221" s="39">
        <f t="shared" si="133"/>
        <v>81033.33333333333</v>
      </c>
      <c r="Z221" s="39">
        <f t="shared" si="133"/>
        <v>77366.66666666667</v>
      </c>
      <c r="AA221" s="40">
        <f>SUM(E221:Z221)</f>
        <v>1666775</v>
      </c>
    </row>
    <row r="222" spans="2:27" ht="15">
      <c r="B222" s="32" t="s">
        <v>87</v>
      </c>
      <c r="C222" s="39">
        <f>C217+450000</f>
        <v>1770000</v>
      </c>
      <c r="D222" s="39" t="s">
        <v>88</v>
      </c>
      <c r="E222" s="39"/>
      <c r="F222" s="39"/>
      <c r="G222" s="39"/>
      <c r="H222" s="39">
        <f>$C$222*0.65*0.03</f>
        <v>34515</v>
      </c>
      <c r="I222" s="39">
        <f aca="true" t="shared" si="134" ref="I222:Z222">$C$222*0.65*0.03</f>
        <v>34515</v>
      </c>
      <c r="J222" s="39">
        <f t="shared" si="134"/>
        <v>34515</v>
      </c>
      <c r="K222" s="39">
        <f t="shared" si="134"/>
        <v>34515</v>
      </c>
      <c r="L222" s="39">
        <f t="shared" si="134"/>
        <v>34515</v>
      </c>
      <c r="M222" s="39">
        <f t="shared" si="134"/>
        <v>34515</v>
      </c>
      <c r="N222" s="39">
        <f t="shared" si="134"/>
        <v>34515</v>
      </c>
      <c r="O222" s="39">
        <f t="shared" si="134"/>
        <v>34515</v>
      </c>
      <c r="P222" s="39">
        <f t="shared" si="134"/>
        <v>34515</v>
      </c>
      <c r="Q222" s="39">
        <f t="shared" si="134"/>
        <v>34515</v>
      </c>
      <c r="R222" s="39">
        <f t="shared" si="134"/>
        <v>34515</v>
      </c>
      <c r="S222" s="39">
        <f t="shared" si="134"/>
        <v>34515</v>
      </c>
      <c r="T222" s="39">
        <f t="shared" si="134"/>
        <v>34515</v>
      </c>
      <c r="U222" s="39">
        <f t="shared" si="134"/>
        <v>34515</v>
      </c>
      <c r="V222" s="39">
        <f t="shared" si="134"/>
        <v>34515</v>
      </c>
      <c r="W222" s="39">
        <f t="shared" si="134"/>
        <v>34515</v>
      </c>
      <c r="X222" s="39">
        <f t="shared" si="134"/>
        <v>34515</v>
      </c>
      <c r="Y222" s="39">
        <f t="shared" si="134"/>
        <v>34515</v>
      </c>
      <c r="Z222" s="39">
        <f t="shared" si="134"/>
        <v>34515</v>
      </c>
      <c r="AA222" s="40">
        <f>SUM(E222:Z222)</f>
        <v>655785</v>
      </c>
    </row>
    <row r="223" spans="2:27" ht="15">
      <c r="B223" s="32"/>
      <c r="C223" s="32"/>
      <c r="D223" s="40" t="s">
        <v>80</v>
      </c>
      <c r="E223" s="40">
        <f>SUM(E221:E222)</f>
        <v>0</v>
      </c>
      <c r="F223" s="40">
        <f aca="true" t="shared" si="135" ref="F223:Z223">SUM(F221:F222)</f>
        <v>0</v>
      </c>
      <c r="G223" s="40">
        <f t="shared" si="135"/>
        <v>2475</v>
      </c>
      <c r="H223" s="40">
        <f t="shared" si="135"/>
        <v>44415</v>
      </c>
      <c r="I223" s="40">
        <f t="shared" si="135"/>
        <v>124348.33333333333</v>
      </c>
      <c r="J223" s="40">
        <f t="shared" si="135"/>
        <v>126548.33333333333</v>
      </c>
      <c r="K223" s="40">
        <f t="shared" si="135"/>
        <v>128381.66666666667</v>
      </c>
      <c r="L223" s="40">
        <f t="shared" si="135"/>
        <v>129848.33333333333</v>
      </c>
      <c r="M223" s="40">
        <f t="shared" si="135"/>
        <v>130948.33333333333</v>
      </c>
      <c r="N223" s="40">
        <f t="shared" si="135"/>
        <v>131681.66666666666</v>
      </c>
      <c r="O223" s="40">
        <f t="shared" si="135"/>
        <v>132048.3333333333</v>
      </c>
      <c r="P223" s="40">
        <f t="shared" si="135"/>
        <v>132048.3333333333</v>
      </c>
      <c r="Q223" s="40">
        <f t="shared" si="135"/>
        <v>131681.66666666666</v>
      </c>
      <c r="R223" s="40">
        <f t="shared" si="135"/>
        <v>130948.33333333333</v>
      </c>
      <c r="S223" s="40">
        <f t="shared" si="135"/>
        <v>129848.33333333333</v>
      </c>
      <c r="T223" s="40">
        <f t="shared" si="135"/>
        <v>128381.66666666666</v>
      </c>
      <c r="U223" s="40">
        <f t="shared" si="135"/>
        <v>126548.33333333333</v>
      </c>
      <c r="V223" s="40">
        <f t="shared" si="135"/>
        <v>124348.33333333333</v>
      </c>
      <c r="W223" s="40">
        <f t="shared" si="135"/>
        <v>121781.66666666667</v>
      </c>
      <c r="X223" s="40">
        <f t="shared" si="135"/>
        <v>118848.33333333333</v>
      </c>
      <c r="Y223" s="40">
        <f t="shared" si="135"/>
        <v>115548.33333333333</v>
      </c>
      <c r="Z223" s="40">
        <f t="shared" si="135"/>
        <v>111881.66666666667</v>
      </c>
      <c r="AA223" s="40">
        <f>SUM(AA221:AA221)</f>
        <v>1666775</v>
      </c>
    </row>
    <row r="225" spans="1:27" ht="15">
      <c r="A225" t="s">
        <v>33</v>
      </c>
      <c r="B225" s="38" t="s">
        <v>26</v>
      </c>
      <c r="C225" s="39">
        <v>1790000</v>
      </c>
      <c r="D225" s="39" t="s">
        <v>57</v>
      </c>
      <c r="E225" s="39">
        <v>0</v>
      </c>
      <c r="F225" s="39">
        <f>0.25*C225</f>
        <v>447500</v>
      </c>
      <c r="G225" s="39">
        <f>0.5*C225</f>
        <v>895000</v>
      </c>
      <c r="H225" s="39">
        <f>0.25*C225</f>
        <v>447500</v>
      </c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</row>
    <row r="226" spans="2:27" ht="15">
      <c r="B226" s="32"/>
      <c r="C226" s="32"/>
      <c r="D226" s="39" t="s">
        <v>83</v>
      </c>
      <c r="E226" s="39">
        <v>0</v>
      </c>
      <c r="F226" s="39">
        <f>F225</f>
        <v>447500</v>
      </c>
      <c r="G226" s="39">
        <f>F225+G225</f>
        <v>1342500</v>
      </c>
      <c r="H226" s="39">
        <f>F225+G225+H225</f>
        <v>1790000</v>
      </c>
      <c r="I226" s="39">
        <f>H226-$H226/18</f>
        <v>1690555.5555555555</v>
      </c>
      <c r="J226" s="39">
        <f aca="true" t="shared" si="136" ref="J226:Z226">I226-$H226/18</f>
        <v>1591111.111111111</v>
      </c>
      <c r="K226" s="39">
        <f t="shared" si="136"/>
        <v>1491666.6666666665</v>
      </c>
      <c r="L226" s="39">
        <f t="shared" si="136"/>
        <v>1392222.222222222</v>
      </c>
      <c r="M226" s="39">
        <f t="shared" si="136"/>
        <v>1292777.7777777775</v>
      </c>
      <c r="N226" s="39">
        <f t="shared" si="136"/>
        <v>1193333.333333333</v>
      </c>
      <c r="O226" s="39">
        <f t="shared" si="136"/>
        <v>1093888.8888888885</v>
      </c>
      <c r="P226" s="39">
        <f t="shared" si="136"/>
        <v>994444.444444444</v>
      </c>
      <c r="Q226" s="39">
        <f t="shared" si="136"/>
        <v>894999.9999999995</v>
      </c>
      <c r="R226" s="39">
        <f t="shared" si="136"/>
        <v>795555.555555555</v>
      </c>
      <c r="S226" s="39">
        <f t="shared" si="136"/>
        <v>696111.1111111105</v>
      </c>
      <c r="T226" s="39">
        <f t="shared" si="136"/>
        <v>596666.666666666</v>
      </c>
      <c r="U226" s="39">
        <f t="shared" si="136"/>
        <v>497222.2222222216</v>
      </c>
      <c r="V226" s="39">
        <f t="shared" si="136"/>
        <v>397777.77777777717</v>
      </c>
      <c r="W226" s="39">
        <f t="shared" si="136"/>
        <v>298333.33333333273</v>
      </c>
      <c r="X226" s="39">
        <f t="shared" si="136"/>
        <v>198888.8888888883</v>
      </c>
      <c r="Y226" s="39">
        <f t="shared" si="136"/>
        <v>99444.44444444386</v>
      </c>
      <c r="Z226" s="39">
        <f t="shared" si="136"/>
        <v>-5.820766091346741E-10</v>
      </c>
      <c r="AA226" s="39"/>
    </row>
    <row r="227" spans="2:27" ht="15">
      <c r="B227" s="32"/>
      <c r="C227" s="32"/>
      <c r="D227" s="39" t="s">
        <v>84</v>
      </c>
      <c r="E227" s="39">
        <v>0</v>
      </c>
      <c r="F227" s="39">
        <f>$E$6*E226</f>
        <v>0</v>
      </c>
      <c r="G227" s="39">
        <f>F226*$F$6</f>
        <v>3356.25</v>
      </c>
      <c r="H227" s="39">
        <f>G226*$G$6</f>
        <v>13425</v>
      </c>
      <c r="I227" s="39">
        <f>H226*$H$6</f>
        <v>22375</v>
      </c>
      <c r="J227" s="39">
        <f>I226*$I$6</f>
        <v>25358.333333333336</v>
      </c>
      <c r="K227" s="39">
        <f>J226*$J$6</f>
        <v>27844.444444444445</v>
      </c>
      <c r="L227" s="39">
        <f>K226*$K$6</f>
        <v>29833.333333333332</v>
      </c>
      <c r="M227" s="39">
        <f>L226*$L$6</f>
        <v>31324.999999999993</v>
      </c>
      <c r="N227" s="39">
        <f>M226*$M$6</f>
        <v>32319.444444444434</v>
      </c>
      <c r="O227" s="39">
        <f>N226*$N$6</f>
        <v>32816.66666666666</v>
      </c>
      <c r="P227" s="39">
        <f>O226*$O$6</f>
        <v>32816.66666666665</v>
      </c>
      <c r="Q227" s="39">
        <f>P226*$P$6</f>
        <v>32319.444444444423</v>
      </c>
      <c r="R227" s="39">
        <f>Q226*$Q$6</f>
        <v>31324.99999999998</v>
      </c>
      <c r="S227" s="39">
        <f>R226*$R$6</f>
        <v>29833.333333333314</v>
      </c>
      <c r="T227" s="39">
        <f>S226*$S$6</f>
        <v>27844.444444444423</v>
      </c>
      <c r="U227" s="39">
        <f>T226*$T$6</f>
        <v>25358.33333333331</v>
      </c>
      <c r="V227" s="39">
        <f>U226*$U$6</f>
        <v>22374.999999999975</v>
      </c>
      <c r="W227" s="39">
        <f>V226*$V$6</f>
        <v>18894.44444444442</v>
      </c>
      <c r="X227" s="39">
        <f>W226*$W$6</f>
        <v>14916.666666666639</v>
      </c>
      <c r="Y227" s="39">
        <f>X226*$X$6</f>
        <v>10441.666666666637</v>
      </c>
      <c r="Z227" s="39">
        <f>Y226*$Y$6</f>
        <v>5469.444444444413</v>
      </c>
      <c r="AA227" s="39">
        <f>SUM(E227:Z227)</f>
        <v>470247.91666666645</v>
      </c>
    </row>
    <row r="228" spans="2:27" ht="15">
      <c r="B228" s="32"/>
      <c r="C228" s="32"/>
      <c r="D228" s="39" t="s">
        <v>85</v>
      </c>
      <c r="E228" s="39">
        <v>0</v>
      </c>
      <c r="F228" s="39">
        <v>0</v>
      </c>
      <c r="G228" s="39">
        <v>0</v>
      </c>
      <c r="H228" s="39"/>
      <c r="I228" s="39">
        <f>$H226/18</f>
        <v>99444.44444444444</v>
      </c>
      <c r="J228" s="39">
        <f aca="true" t="shared" si="137" ref="J228:Z228">$H226/18</f>
        <v>99444.44444444444</v>
      </c>
      <c r="K228" s="39">
        <f t="shared" si="137"/>
        <v>99444.44444444444</v>
      </c>
      <c r="L228" s="39">
        <f t="shared" si="137"/>
        <v>99444.44444444444</v>
      </c>
      <c r="M228" s="39">
        <f t="shared" si="137"/>
        <v>99444.44444444444</v>
      </c>
      <c r="N228" s="39">
        <f t="shared" si="137"/>
        <v>99444.44444444444</v>
      </c>
      <c r="O228" s="39">
        <f t="shared" si="137"/>
        <v>99444.44444444444</v>
      </c>
      <c r="P228" s="39">
        <f t="shared" si="137"/>
        <v>99444.44444444444</v>
      </c>
      <c r="Q228" s="39">
        <f t="shared" si="137"/>
        <v>99444.44444444444</v>
      </c>
      <c r="R228" s="39">
        <f t="shared" si="137"/>
        <v>99444.44444444444</v>
      </c>
      <c r="S228" s="39">
        <f t="shared" si="137"/>
        <v>99444.44444444444</v>
      </c>
      <c r="T228" s="39">
        <f t="shared" si="137"/>
        <v>99444.44444444444</v>
      </c>
      <c r="U228" s="39">
        <f t="shared" si="137"/>
        <v>99444.44444444444</v>
      </c>
      <c r="V228" s="39">
        <f t="shared" si="137"/>
        <v>99444.44444444444</v>
      </c>
      <c r="W228" s="39">
        <f t="shared" si="137"/>
        <v>99444.44444444444</v>
      </c>
      <c r="X228" s="39">
        <f t="shared" si="137"/>
        <v>99444.44444444444</v>
      </c>
      <c r="Y228" s="39">
        <f t="shared" si="137"/>
        <v>99444.44444444444</v>
      </c>
      <c r="Z228" s="39">
        <f t="shared" si="137"/>
        <v>99444.44444444444</v>
      </c>
      <c r="AA228" s="39">
        <f>SUM(E228:Z228)</f>
        <v>1790000.0000000005</v>
      </c>
    </row>
    <row r="229" spans="2:27" ht="15">
      <c r="B229" s="32"/>
      <c r="C229" s="32"/>
      <c r="D229" s="39" t="s">
        <v>86</v>
      </c>
      <c r="E229" s="39">
        <v>0</v>
      </c>
      <c r="F229" s="39">
        <f>F227+F228</f>
        <v>0</v>
      </c>
      <c r="G229" s="39">
        <f aca="true" t="shared" si="138" ref="G229:Z229">G227+G228</f>
        <v>3356.25</v>
      </c>
      <c r="H229" s="39">
        <f t="shared" si="138"/>
        <v>13425</v>
      </c>
      <c r="I229" s="39">
        <f t="shared" si="138"/>
        <v>121819.44444444444</v>
      </c>
      <c r="J229" s="39">
        <f t="shared" si="138"/>
        <v>124802.77777777778</v>
      </c>
      <c r="K229" s="39">
        <f t="shared" si="138"/>
        <v>127288.88888888888</v>
      </c>
      <c r="L229" s="39">
        <f t="shared" si="138"/>
        <v>129277.77777777777</v>
      </c>
      <c r="M229" s="39">
        <f t="shared" si="138"/>
        <v>130769.44444444444</v>
      </c>
      <c r="N229" s="39">
        <f t="shared" si="138"/>
        <v>131763.88888888888</v>
      </c>
      <c r="O229" s="39">
        <f t="shared" si="138"/>
        <v>132261.1111111111</v>
      </c>
      <c r="P229" s="39">
        <f t="shared" si="138"/>
        <v>132261.1111111111</v>
      </c>
      <c r="Q229" s="39">
        <f t="shared" si="138"/>
        <v>131763.88888888888</v>
      </c>
      <c r="R229" s="39">
        <f t="shared" si="138"/>
        <v>130769.44444444442</v>
      </c>
      <c r="S229" s="39">
        <f t="shared" si="138"/>
        <v>129277.77777777775</v>
      </c>
      <c r="T229" s="39">
        <f t="shared" si="138"/>
        <v>127288.88888888886</v>
      </c>
      <c r="U229" s="39">
        <f t="shared" si="138"/>
        <v>124802.77777777775</v>
      </c>
      <c r="V229" s="39">
        <f t="shared" si="138"/>
        <v>121819.44444444441</v>
      </c>
      <c r="W229" s="39">
        <f t="shared" si="138"/>
        <v>118338.88888888886</v>
      </c>
      <c r="X229" s="39">
        <f t="shared" si="138"/>
        <v>114361.11111111108</v>
      </c>
      <c r="Y229" s="39">
        <f t="shared" si="138"/>
        <v>109886.11111111108</v>
      </c>
      <c r="Z229" s="39">
        <f t="shared" si="138"/>
        <v>104913.88888888885</v>
      </c>
      <c r="AA229" s="40">
        <f>SUM(E229:Z229)</f>
        <v>2260247.9166666665</v>
      </c>
    </row>
    <row r="230" spans="2:27" ht="15">
      <c r="B230" s="32" t="s">
        <v>87</v>
      </c>
      <c r="C230" s="39">
        <f>C225+590000</f>
        <v>2380000</v>
      </c>
      <c r="D230" s="39" t="s">
        <v>88</v>
      </c>
      <c r="E230" s="39"/>
      <c r="F230" s="39"/>
      <c r="G230" s="39"/>
      <c r="H230" s="39">
        <f>$C$230*0.65*0.03</f>
        <v>46410</v>
      </c>
      <c r="I230" s="39">
        <f aca="true" t="shared" si="139" ref="I230:Z230">$C$230*0.65*0.03</f>
        <v>46410</v>
      </c>
      <c r="J230" s="39">
        <f t="shared" si="139"/>
        <v>46410</v>
      </c>
      <c r="K230" s="39">
        <f t="shared" si="139"/>
        <v>46410</v>
      </c>
      <c r="L230" s="39">
        <f t="shared" si="139"/>
        <v>46410</v>
      </c>
      <c r="M230" s="39">
        <f t="shared" si="139"/>
        <v>46410</v>
      </c>
      <c r="N230" s="39">
        <f t="shared" si="139"/>
        <v>46410</v>
      </c>
      <c r="O230" s="39">
        <f t="shared" si="139"/>
        <v>46410</v>
      </c>
      <c r="P230" s="39">
        <f t="shared" si="139"/>
        <v>46410</v>
      </c>
      <c r="Q230" s="39">
        <f t="shared" si="139"/>
        <v>46410</v>
      </c>
      <c r="R230" s="39">
        <f t="shared" si="139"/>
        <v>46410</v>
      </c>
      <c r="S230" s="39">
        <f t="shared" si="139"/>
        <v>46410</v>
      </c>
      <c r="T230" s="39">
        <f t="shared" si="139"/>
        <v>46410</v>
      </c>
      <c r="U230" s="39">
        <f t="shared" si="139"/>
        <v>46410</v>
      </c>
      <c r="V230" s="39">
        <f t="shared" si="139"/>
        <v>46410</v>
      </c>
      <c r="W230" s="39">
        <f t="shared" si="139"/>
        <v>46410</v>
      </c>
      <c r="X230" s="39">
        <f t="shared" si="139"/>
        <v>46410</v>
      </c>
      <c r="Y230" s="39">
        <f t="shared" si="139"/>
        <v>46410</v>
      </c>
      <c r="Z230" s="39">
        <f t="shared" si="139"/>
        <v>46410</v>
      </c>
      <c r="AA230" s="40">
        <f>SUM(E230:Z230)</f>
        <v>881790</v>
      </c>
    </row>
    <row r="231" spans="2:27" ht="15">
      <c r="B231" s="32"/>
      <c r="C231" s="32"/>
      <c r="D231" s="40" t="s">
        <v>80</v>
      </c>
      <c r="E231" s="40">
        <f>SUM(E229:E230)</f>
        <v>0</v>
      </c>
      <c r="F231" s="40">
        <f aca="true" t="shared" si="140" ref="F231:Z231">SUM(F229:F230)</f>
        <v>0</v>
      </c>
      <c r="G231" s="40">
        <f t="shared" si="140"/>
        <v>3356.25</v>
      </c>
      <c r="H231" s="40">
        <f t="shared" si="140"/>
        <v>59835</v>
      </c>
      <c r="I231" s="40">
        <f t="shared" si="140"/>
        <v>168229.44444444444</v>
      </c>
      <c r="J231" s="40">
        <f t="shared" si="140"/>
        <v>171212.77777777778</v>
      </c>
      <c r="K231" s="40">
        <f t="shared" si="140"/>
        <v>173698.88888888888</v>
      </c>
      <c r="L231" s="40">
        <f t="shared" si="140"/>
        <v>175687.77777777775</v>
      </c>
      <c r="M231" s="40">
        <f t="shared" si="140"/>
        <v>177179.44444444444</v>
      </c>
      <c r="N231" s="40">
        <f t="shared" si="140"/>
        <v>178173.88888888888</v>
      </c>
      <c r="O231" s="40">
        <f t="shared" si="140"/>
        <v>178671.1111111111</v>
      </c>
      <c r="P231" s="40">
        <f t="shared" si="140"/>
        <v>178671.1111111111</v>
      </c>
      <c r="Q231" s="40">
        <f t="shared" si="140"/>
        <v>178173.88888888888</v>
      </c>
      <c r="R231" s="40">
        <f t="shared" si="140"/>
        <v>177179.44444444444</v>
      </c>
      <c r="S231" s="40">
        <f t="shared" si="140"/>
        <v>175687.77777777775</v>
      </c>
      <c r="T231" s="40">
        <f t="shared" si="140"/>
        <v>173698.88888888888</v>
      </c>
      <c r="U231" s="40">
        <f t="shared" si="140"/>
        <v>171212.77777777775</v>
      </c>
      <c r="V231" s="40">
        <f t="shared" si="140"/>
        <v>168229.4444444444</v>
      </c>
      <c r="W231" s="40">
        <f t="shared" si="140"/>
        <v>164748.88888888888</v>
      </c>
      <c r="X231" s="40">
        <f t="shared" si="140"/>
        <v>160771.11111111107</v>
      </c>
      <c r="Y231" s="40">
        <f t="shared" si="140"/>
        <v>156296.11111111107</v>
      </c>
      <c r="Z231" s="40">
        <f t="shared" si="140"/>
        <v>151323.88888888885</v>
      </c>
      <c r="AA231" s="40">
        <f>SUM(AA229:AA229)</f>
        <v>2260247.9166666665</v>
      </c>
    </row>
    <row r="233" spans="1:27" ht="15">
      <c r="A233" s="2" t="s">
        <v>34</v>
      </c>
      <c r="B233" s="2" t="s">
        <v>90</v>
      </c>
      <c r="C233" s="24">
        <v>900000</v>
      </c>
      <c r="D233" s="39" t="s">
        <v>57</v>
      </c>
      <c r="E233" s="39">
        <v>0</v>
      </c>
      <c r="F233" s="39">
        <v>225000</v>
      </c>
      <c r="G233" s="39">
        <v>450000</v>
      </c>
      <c r="H233" s="39">
        <v>225000</v>
      </c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</row>
    <row r="234" spans="4:27" ht="15">
      <c r="D234" s="39" t="s">
        <v>83</v>
      </c>
      <c r="E234" s="39">
        <v>0</v>
      </c>
      <c r="F234" s="39">
        <f>F233</f>
        <v>225000</v>
      </c>
      <c r="G234" s="39">
        <f>F233+G233</f>
        <v>675000</v>
      </c>
      <c r="H234" s="39">
        <f>F233+G233+H233</f>
        <v>900000</v>
      </c>
      <c r="I234" s="39">
        <f aca="true" t="shared" si="141" ref="I234:Z234">H234-$H234/18</f>
        <v>850000</v>
      </c>
      <c r="J234" s="39">
        <f t="shared" si="141"/>
        <v>800000</v>
      </c>
      <c r="K234" s="39">
        <f t="shared" si="141"/>
        <v>750000</v>
      </c>
      <c r="L234" s="39">
        <f t="shared" si="141"/>
        <v>700000</v>
      </c>
      <c r="M234" s="39">
        <f t="shared" si="141"/>
        <v>650000</v>
      </c>
      <c r="N234" s="39">
        <f t="shared" si="141"/>
        <v>600000</v>
      </c>
      <c r="O234" s="39">
        <f t="shared" si="141"/>
        <v>550000</v>
      </c>
      <c r="P234" s="39">
        <f t="shared" si="141"/>
        <v>500000</v>
      </c>
      <c r="Q234" s="39">
        <f t="shared" si="141"/>
        <v>450000</v>
      </c>
      <c r="R234" s="39">
        <f t="shared" si="141"/>
        <v>400000</v>
      </c>
      <c r="S234" s="39">
        <f t="shared" si="141"/>
        <v>350000</v>
      </c>
      <c r="T234" s="39">
        <f t="shared" si="141"/>
        <v>300000</v>
      </c>
      <c r="U234" s="39">
        <f t="shared" si="141"/>
        <v>250000</v>
      </c>
      <c r="V234" s="39">
        <f t="shared" si="141"/>
        <v>200000</v>
      </c>
      <c r="W234" s="39">
        <f t="shared" si="141"/>
        <v>150000</v>
      </c>
      <c r="X234" s="39">
        <f t="shared" si="141"/>
        <v>100000</v>
      </c>
      <c r="Y234" s="39">
        <f t="shared" si="141"/>
        <v>50000</v>
      </c>
      <c r="Z234" s="39">
        <f t="shared" si="141"/>
        <v>0</v>
      </c>
      <c r="AA234" s="39"/>
    </row>
    <row r="235" spans="4:27" ht="15">
      <c r="D235" s="39" t="s">
        <v>84</v>
      </c>
      <c r="E235" s="39">
        <v>0</v>
      </c>
      <c r="F235" s="39">
        <f>$E$6*E234</f>
        <v>0</v>
      </c>
      <c r="G235" s="39">
        <f>F234*$F$6</f>
        <v>1687.5</v>
      </c>
      <c r="H235" s="39">
        <f>G234*$G$6</f>
        <v>6750</v>
      </c>
      <c r="I235" s="39">
        <f>H234*$H$6</f>
        <v>11250</v>
      </c>
      <c r="J235" s="39">
        <f>I234*$I$6</f>
        <v>12750.000000000002</v>
      </c>
      <c r="K235" s="39">
        <f>J234*$J$6</f>
        <v>14000.000000000002</v>
      </c>
      <c r="L235" s="39">
        <f>K234*$K$6</f>
        <v>15000</v>
      </c>
      <c r="M235" s="39">
        <f>L234*$L$6</f>
        <v>15750</v>
      </c>
      <c r="N235" s="39">
        <f>M234*$M$6</f>
        <v>16249.999999999998</v>
      </c>
      <c r="O235" s="39">
        <f>N234*$N$6</f>
        <v>16499.999999999996</v>
      </c>
      <c r="P235" s="39">
        <f>O234*$O$6</f>
        <v>16499.999999999996</v>
      </c>
      <c r="Q235" s="39">
        <f>P234*$P$6</f>
        <v>16249.999999999996</v>
      </c>
      <c r="R235" s="39">
        <f>Q234*$Q$6</f>
        <v>15749.999999999998</v>
      </c>
      <c r="S235" s="39">
        <f>R234*$R$6</f>
        <v>15000</v>
      </c>
      <c r="T235" s="39">
        <f>S234*$S$6</f>
        <v>14000</v>
      </c>
      <c r="U235" s="39">
        <f>T234*$T$6</f>
        <v>12750.000000000002</v>
      </c>
      <c r="V235" s="39">
        <f>U234*$U$6</f>
        <v>11250.000000000002</v>
      </c>
      <c r="W235" s="39">
        <f>V234*$V$6</f>
        <v>9500.000000000002</v>
      </c>
      <c r="X235" s="39">
        <f>W234*$W$6</f>
        <v>7500.000000000002</v>
      </c>
      <c r="Y235" s="39">
        <f>X234*$X$6</f>
        <v>5250.000000000001</v>
      </c>
      <c r="Z235" s="39">
        <f>Y234*$Y$6</f>
        <v>2750.000000000001</v>
      </c>
      <c r="AA235" s="39">
        <f>SUM(E235:Z235)</f>
        <v>236437.5</v>
      </c>
    </row>
    <row r="236" spans="4:27" ht="15">
      <c r="D236" s="39" t="s">
        <v>85</v>
      </c>
      <c r="E236" s="39">
        <v>0</v>
      </c>
      <c r="F236" s="39">
        <v>0</v>
      </c>
      <c r="G236" s="39">
        <v>0</v>
      </c>
      <c r="H236" s="39"/>
      <c r="I236" s="39">
        <f>$H234/18</f>
        <v>50000</v>
      </c>
      <c r="J236" s="39">
        <f aca="true" t="shared" si="142" ref="J236:Z236">$H234/18</f>
        <v>50000</v>
      </c>
      <c r="K236" s="39">
        <f t="shared" si="142"/>
        <v>50000</v>
      </c>
      <c r="L236" s="39">
        <f t="shared" si="142"/>
        <v>50000</v>
      </c>
      <c r="M236" s="39">
        <f t="shared" si="142"/>
        <v>50000</v>
      </c>
      <c r="N236" s="39">
        <f t="shared" si="142"/>
        <v>50000</v>
      </c>
      <c r="O236" s="39">
        <f t="shared" si="142"/>
        <v>50000</v>
      </c>
      <c r="P236" s="39">
        <f t="shared" si="142"/>
        <v>50000</v>
      </c>
      <c r="Q236" s="39">
        <f t="shared" si="142"/>
        <v>50000</v>
      </c>
      <c r="R236" s="39">
        <f t="shared" si="142"/>
        <v>50000</v>
      </c>
      <c r="S236" s="39">
        <f t="shared" si="142"/>
        <v>50000</v>
      </c>
      <c r="T236" s="39">
        <f t="shared" si="142"/>
        <v>50000</v>
      </c>
      <c r="U236" s="39">
        <f t="shared" si="142"/>
        <v>50000</v>
      </c>
      <c r="V236" s="39">
        <f t="shared" si="142"/>
        <v>50000</v>
      </c>
      <c r="W236" s="39">
        <f t="shared" si="142"/>
        <v>50000</v>
      </c>
      <c r="X236" s="39">
        <f t="shared" si="142"/>
        <v>50000</v>
      </c>
      <c r="Y236" s="39">
        <f t="shared" si="142"/>
        <v>50000</v>
      </c>
      <c r="Z236" s="39">
        <f t="shared" si="142"/>
        <v>50000</v>
      </c>
      <c r="AA236" s="39">
        <f>SUM(E236:Z236)</f>
        <v>900000</v>
      </c>
    </row>
    <row r="237" spans="2:27" ht="15">
      <c r="B237" s="32" t="s">
        <v>87</v>
      </c>
      <c r="C237" s="39">
        <f>C233+480000</f>
        <v>1380000</v>
      </c>
      <c r="D237" s="39" t="s">
        <v>86</v>
      </c>
      <c r="E237" s="39">
        <v>0</v>
      </c>
      <c r="F237" s="39">
        <f>F235+F236</f>
        <v>0</v>
      </c>
      <c r="G237" s="39">
        <f aca="true" t="shared" si="143" ref="G237:Z237">G235+G236</f>
        <v>1687.5</v>
      </c>
      <c r="H237" s="39">
        <f t="shared" si="143"/>
        <v>6750</v>
      </c>
      <c r="I237" s="39">
        <f t="shared" si="143"/>
        <v>61250</v>
      </c>
      <c r="J237" s="39">
        <f t="shared" si="143"/>
        <v>62750</v>
      </c>
      <c r="K237" s="39">
        <f t="shared" si="143"/>
        <v>64000</v>
      </c>
      <c r="L237" s="39">
        <f t="shared" si="143"/>
        <v>65000</v>
      </c>
      <c r="M237" s="39">
        <f t="shared" si="143"/>
        <v>65750</v>
      </c>
      <c r="N237" s="39">
        <f t="shared" si="143"/>
        <v>66250</v>
      </c>
      <c r="O237" s="39">
        <f t="shared" si="143"/>
        <v>66500</v>
      </c>
      <c r="P237" s="39">
        <f t="shared" si="143"/>
        <v>66500</v>
      </c>
      <c r="Q237" s="39">
        <f t="shared" si="143"/>
        <v>66250</v>
      </c>
      <c r="R237" s="39">
        <f t="shared" si="143"/>
        <v>65750</v>
      </c>
      <c r="S237" s="39">
        <f t="shared" si="143"/>
        <v>65000</v>
      </c>
      <c r="T237" s="39">
        <f t="shared" si="143"/>
        <v>64000</v>
      </c>
      <c r="U237" s="39">
        <f t="shared" si="143"/>
        <v>62750</v>
      </c>
      <c r="V237" s="39">
        <f t="shared" si="143"/>
        <v>61250</v>
      </c>
      <c r="W237" s="39">
        <f t="shared" si="143"/>
        <v>59500</v>
      </c>
      <c r="X237" s="39">
        <f t="shared" si="143"/>
        <v>57500</v>
      </c>
      <c r="Y237" s="39">
        <f t="shared" si="143"/>
        <v>55250</v>
      </c>
      <c r="Z237" s="39">
        <f t="shared" si="143"/>
        <v>52750</v>
      </c>
      <c r="AA237" s="40">
        <f>SUM(E237:Z237)</f>
        <v>1136437.5</v>
      </c>
    </row>
    <row r="238" spans="4:27" ht="15">
      <c r="D238" s="39" t="s">
        <v>88</v>
      </c>
      <c r="E238" s="39">
        <v>0</v>
      </c>
      <c r="F238" s="39"/>
      <c r="G238" s="39"/>
      <c r="H238" s="39">
        <f>$C$230*0.65*0.03</f>
        <v>46410</v>
      </c>
      <c r="I238" s="39">
        <f aca="true" t="shared" si="144" ref="I238:Z238">$C$230*0.65*0.03</f>
        <v>46410</v>
      </c>
      <c r="J238" s="39">
        <f t="shared" si="144"/>
        <v>46410</v>
      </c>
      <c r="K238" s="39">
        <f t="shared" si="144"/>
        <v>46410</v>
      </c>
      <c r="L238" s="39">
        <f t="shared" si="144"/>
        <v>46410</v>
      </c>
      <c r="M238" s="39">
        <f t="shared" si="144"/>
        <v>46410</v>
      </c>
      <c r="N238" s="39">
        <f t="shared" si="144"/>
        <v>46410</v>
      </c>
      <c r="O238" s="39">
        <f t="shared" si="144"/>
        <v>46410</v>
      </c>
      <c r="P238" s="39">
        <f t="shared" si="144"/>
        <v>46410</v>
      </c>
      <c r="Q238" s="39">
        <f t="shared" si="144"/>
        <v>46410</v>
      </c>
      <c r="R238" s="39">
        <f t="shared" si="144"/>
        <v>46410</v>
      </c>
      <c r="S238" s="39">
        <f t="shared" si="144"/>
        <v>46410</v>
      </c>
      <c r="T238" s="39">
        <f t="shared" si="144"/>
        <v>46410</v>
      </c>
      <c r="U238" s="39">
        <f t="shared" si="144"/>
        <v>46410</v>
      </c>
      <c r="V238" s="39">
        <f t="shared" si="144"/>
        <v>46410</v>
      </c>
      <c r="W238" s="39">
        <f t="shared" si="144"/>
        <v>46410</v>
      </c>
      <c r="X238" s="39">
        <f t="shared" si="144"/>
        <v>46410</v>
      </c>
      <c r="Y238" s="39">
        <f t="shared" si="144"/>
        <v>46410</v>
      </c>
      <c r="Z238" s="39">
        <f t="shared" si="144"/>
        <v>46410</v>
      </c>
      <c r="AA238" s="40">
        <f>SUM(E238:Z238)</f>
        <v>881790</v>
      </c>
    </row>
    <row r="239" spans="4:27" ht="15">
      <c r="D239" s="40" t="s">
        <v>80</v>
      </c>
      <c r="E239" s="39">
        <v>0</v>
      </c>
      <c r="F239" s="40">
        <f aca="true" t="shared" si="145" ref="F239:Z239">SUM(F237:F238)</f>
        <v>0</v>
      </c>
      <c r="G239" s="40">
        <f t="shared" si="145"/>
        <v>1687.5</v>
      </c>
      <c r="H239" s="40">
        <f t="shared" si="145"/>
        <v>53160</v>
      </c>
      <c r="I239" s="40">
        <f t="shared" si="145"/>
        <v>107660</v>
      </c>
      <c r="J239" s="40">
        <f t="shared" si="145"/>
        <v>109160</v>
      </c>
      <c r="K239" s="40">
        <f t="shared" si="145"/>
        <v>110410</v>
      </c>
      <c r="L239" s="40">
        <f t="shared" si="145"/>
        <v>111410</v>
      </c>
      <c r="M239" s="40">
        <f t="shared" si="145"/>
        <v>112160</v>
      </c>
      <c r="N239" s="40">
        <f t="shared" si="145"/>
        <v>112660</v>
      </c>
      <c r="O239" s="40">
        <f t="shared" si="145"/>
        <v>112910</v>
      </c>
      <c r="P239" s="40">
        <f t="shared" si="145"/>
        <v>112910</v>
      </c>
      <c r="Q239" s="40">
        <f t="shared" si="145"/>
        <v>112660</v>
      </c>
      <c r="R239" s="40">
        <f t="shared" si="145"/>
        <v>112160</v>
      </c>
      <c r="S239" s="40">
        <f t="shared" si="145"/>
        <v>111410</v>
      </c>
      <c r="T239" s="40">
        <f t="shared" si="145"/>
        <v>110410</v>
      </c>
      <c r="U239" s="40">
        <f t="shared" si="145"/>
        <v>109160</v>
      </c>
      <c r="V239" s="40">
        <f t="shared" si="145"/>
        <v>107660</v>
      </c>
      <c r="W239" s="40">
        <f t="shared" si="145"/>
        <v>105910</v>
      </c>
      <c r="X239" s="40">
        <f t="shared" si="145"/>
        <v>103910</v>
      </c>
      <c r="Y239" s="40">
        <f t="shared" si="145"/>
        <v>101660</v>
      </c>
      <c r="Z239" s="40">
        <f t="shared" si="145"/>
        <v>99160</v>
      </c>
      <c r="AA239" s="40">
        <f>SUM(AA237:AA237)</f>
        <v>1136437.5</v>
      </c>
    </row>
    <row r="240" spans="4:27" ht="15"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>
        <v>1325625</v>
      </c>
    </row>
    <row r="241" spans="1:27" ht="15">
      <c r="A241" s="2" t="s">
        <v>34</v>
      </c>
      <c r="B241" s="2" t="s">
        <v>137</v>
      </c>
      <c r="C241" s="24">
        <v>830000</v>
      </c>
      <c r="D241" s="39" t="s">
        <v>57</v>
      </c>
      <c r="E241" s="39">
        <v>0</v>
      </c>
      <c r="F241" s="39">
        <f>C241/4</f>
        <v>207500</v>
      </c>
      <c r="G241" s="39">
        <f>C241/2</f>
        <v>415000</v>
      </c>
      <c r="H241" s="39">
        <f>C241/4</f>
        <v>207500</v>
      </c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</row>
    <row r="242" spans="4:27" ht="15">
      <c r="D242" s="39" t="s">
        <v>83</v>
      </c>
      <c r="E242" s="39">
        <v>0</v>
      </c>
      <c r="F242" s="39">
        <f>F241</f>
        <v>207500</v>
      </c>
      <c r="G242" s="39">
        <f>F241+G241</f>
        <v>622500</v>
      </c>
      <c r="H242" s="39">
        <f>F241+G241+H241</f>
        <v>830000</v>
      </c>
      <c r="I242" s="39">
        <f aca="true" t="shared" si="146" ref="I242:Z242">H242-$H242/18</f>
        <v>783888.8888888889</v>
      </c>
      <c r="J242" s="39">
        <f t="shared" si="146"/>
        <v>737777.7777777778</v>
      </c>
      <c r="K242" s="39">
        <f t="shared" si="146"/>
        <v>691666.6666666666</v>
      </c>
      <c r="L242" s="39">
        <f t="shared" si="146"/>
        <v>645555.5555555555</v>
      </c>
      <c r="M242" s="39">
        <f t="shared" si="146"/>
        <v>599444.4444444444</v>
      </c>
      <c r="N242" s="39">
        <f t="shared" si="146"/>
        <v>553333.3333333333</v>
      </c>
      <c r="O242" s="39">
        <f t="shared" si="146"/>
        <v>507222.22222222213</v>
      </c>
      <c r="P242" s="39">
        <f t="shared" si="146"/>
        <v>461111.111111111</v>
      </c>
      <c r="Q242" s="39">
        <f t="shared" si="146"/>
        <v>414999.9999999999</v>
      </c>
      <c r="R242" s="39">
        <f t="shared" si="146"/>
        <v>368888.88888888876</v>
      </c>
      <c r="S242" s="39">
        <f t="shared" si="146"/>
        <v>322777.77777777764</v>
      </c>
      <c r="T242" s="39">
        <f t="shared" si="146"/>
        <v>276666.6666666665</v>
      </c>
      <c r="U242" s="39">
        <f t="shared" si="146"/>
        <v>230555.5555555554</v>
      </c>
      <c r="V242" s="39">
        <f t="shared" si="146"/>
        <v>184444.44444444426</v>
      </c>
      <c r="W242" s="39">
        <f t="shared" si="146"/>
        <v>138333.33333333314</v>
      </c>
      <c r="X242" s="39">
        <f t="shared" si="146"/>
        <v>92222.22222222203</v>
      </c>
      <c r="Y242" s="39">
        <f t="shared" si="146"/>
        <v>46111.11111111092</v>
      </c>
      <c r="Z242" s="39">
        <f t="shared" si="146"/>
        <v>-1.8917489796876907E-10</v>
      </c>
      <c r="AA242" s="39"/>
    </row>
    <row r="243" spans="4:27" ht="15">
      <c r="D243" s="39" t="s">
        <v>84</v>
      </c>
      <c r="E243" s="39">
        <v>0</v>
      </c>
      <c r="F243" s="39">
        <f>$E$6*E242</f>
        <v>0</v>
      </c>
      <c r="G243" s="39">
        <f>F242*$F$6</f>
        <v>1556.25</v>
      </c>
      <c r="H243" s="39">
        <f>G242*$G$6</f>
        <v>6225</v>
      </c>
      <c r="I243" s="39">
        <f>H242*$H$6</f>
        <v>10375</v>
      </c>
      <c r="J243" s="39">
        <f>I242*$I$6</f>
        <v>11758.333333333334</v>
      </c>
      <c r="K243" s="39">
        <f>J242*$J$6</f>
        <v>12911.111111111111</v>
      </c>
      <c r="L243" s="39">
        <f>K242*$K$6</f>
        <v>13833.333333333332</v>
      </c>
      <c r="M243" s="39">
        <f>L242*$L$6</f>
        <v>14524.999999999998</v>
      </c>
      <c r="N243" s="39">
        <f>M242*$M$6</f>
        <v>14986.111111111108</v>
      </c>
      <c r="O243" s="39">
        <f>N242*$N$6</f>
        <v>15216.666666666662</v>
      </c>
      <c r="P243" s="39">
        <f>O242*$O$6</f>
        <v>15216.666666666662</v>
      </c>
      <c r="Q243" s="39">
        <f>P242*$P$6</f>
        <v>14986.111111111106</v>
      </c>
      <c r="R243" s="39">
        <f>Q242*$Q$6</f>
        <v>14524.999999999995</v>
      </c>
      <c r="S243" s="39">
        <f>R242*$R$6</f>
        <v>13833.333333333328</v>
      </c>
      <c r="T243" s="39">
        <f>S242*$S$6</f>
        <v>12911.111111111106</v>
      </c>
      <c r="U243" s="39">
        <f>T242*$T$6</f>
        <v>11758.333333333328</v>
      </c>
      <c r="V243" s="39">
        <f>U242*$U$6</f>
        <v>10374.999999999995</v>
      </c>
      <c r="W243" s="39">
        <f>V242*$V$6</f>
        <v>8761.111111111104</v>
      </c>
      <c r="X243" s="39">
        <f>W242*$W$6</f>
        <v>6916.666666666658</v>
      </c>
      <c r="Y243" s="39">
        <f>X242*$X$6</f>
        <v>4841.666666666658</v>
      </c>
      <c r="Z243" s="39">
        <f>Y242*$Y$6</f>
        <v>2536.1111111111013</v>
      </c>
      <c r="AA243" s="39">
        <f>SUM(E243:Z243)</f>
        <v>218047.91666666657</v>
      </c>
    </row>
    <row r="244" spans="4:27" ht="15">
      <c r="D244" s="39" t="s">
        <v>85</v>
      </c>
      <c r="E244" s="39">
        <v>0</v>
      </c>
      <c r="F244" s="39">
        <v>0</v>
      </c>
      <c r="G244" s="39">
        <v>0</v>
      </c>
      <c r="H244" s="39"/>
      <c r="I244" s="39">
        <f>$H242/18</f>
        <v>46111.11111111111</v>
      </c>
      <c r="J244" s="39">
        <f aca="true" t="shared" si="147" ref="J244:Z244">$H242/18</f>
        <v>46111.11111111111</v>
      </c>
      <c r="K244" s="39">
        <f t="shared" si="147"/>
        <v>46111.11111111111</v>
      </c>
      <c r="L244" s="39">
        <f t="shared" si="147"/>
        <v>46111.11111111111</v>
      </c>
      <c r="M244" s="39">
        <f t="shared" si="147"/>
        <v>46111.11111111111</v>
      </c>
      <c r="N244" s="39">
        <f t="shared" si="147"/>
        <v>46111.11111111111</v>
      </c>
      <c r="O244" s="39">
        <f t="shared" si="147"/>
        <v>46111.11111111111</v>
      </c>
      <c r="P244" s="39">
        <f t="shared" si="147"/>
        <v>46111.11111111111</v>
      </c>
      <c r="Q244" s="39">
        <f t="shared" si="147"/>
        <v>46111.11111111111</v>
      </c>
      <c r="R244" s="39">
        <f t="shared" si="147"/>
        <v>46111.11111111111</v>
      </c>
      <c r="S244" s="39">
        <f t="shared" si="147"/>
        <v>46111.11111111111</v>
      </c>
      <c r="T244" s="39">
        <f t="shared" si="147"/>
        <v>46111.11111111111</v>
      </c>
      <c r="U244" s="39">
        <f t="shared" si="147"/>
        <v>46111.11111111111</v>
      </c>
      <c r="V244" s="39">
        <f t="shared" si="147"/>
        <v>46111.11111111111</v>
      </c>
      <c r="W244" s="39">
        <f t="shared" si="147"/>
        <v>46111.11111111111</v>
      </c>
      <c r="X244" s="39">
        <f t="shared" si="147"/>
        <v>46111.11111111111</v>
      </c>
      <c r="Y244" s="39">
        <f t="shared" si="147"/>
        <v>46111.11111111111</v>
      </c>
      <c r="Z244" s="39">
        <f t="shared" si="147"/>
        <v>46111.11111111111</v>
      </c>
      <c r="AA244" s="39">
        <f>SUM(E244:Z244)</f>
        <v>830000.0000000001</v>
      </c>
    </row>
    <row r="245" spans="2:27" ht="15">
      <c r="B245" s="32" t="s">
        <v>87</v>
      </c>
      <c r="C245" s="39">
        <f>C241+480000</f>
        <v>1310000</v>
      </c>
      <c r="D245" s="39" t="s">
        <v>86</v>
      </c>
      <c r="E245" s="39">
        <v>0</v>
      </c>
      <c r="F245" s="39">
        <f>F243+F244</f>
        <v>0</v>
      </c>
      <c r="G245" s="39">
        <f aca="true" t="shared" si="148" ref="G245:Z245">G243+G244</f>
        <v>1556.25</v>
      </c>
      <c r="H245" s="39">
        <f t="shared" si="148"/>
        <v>6225</v>
      </c>
      <c r="I245" s="39">
        <f t="shared" si="148"/>
        <v>56486.11111111111</v>
      </c>
      <c r="J245" s="39">
        <f t="shared" si="148"/>
        <v>57869.444444444445</v>
      </c>
      <c r="K245" s="39">
        <f t="shared" si="148"/>
        <v>59022.22222222222</v>
      </c>
      <c r="L245" s="39">
        <f t="shared" si="148"/>
        <v>59944.44444444444</v>
      </c>
      <c r="M245" s="39">
        <f t="shared" si="148"/>
        <v>60636.11111111111</v>
      </c>
      <c r="N245" s="39">
        <f t="shared" si="148"/>
        <v>61097.22222222222</v>
      </c>
      <c r="O245" s="39">
        <f t="shared" si="148"/>
        <v>61327.777777777774</v>
      </c>
      <c r="P245" s="39">
        <f t="shared" si="148"/>
        <v>61327.777777777774</v>
      </c>
      <c r="Q245" s="39">
        <f t="shared" si="148"/>
        <v>61097.22222222222</v>
      </c>
      <c r="R245" s="39">
        <f t="shared" si="148"/>
        <v>60636.1111111111</v>
      </c>
      <c r="S245" s="39">
        <f t="shared" si="148"/>
        <v>59944.44444444444</v>
      </c>
      <c r="T245" s="39">
        <f t="shared" si="148"/>
        <v>59022.22222222222</v>
      </c>
      <c r="U245" s="39">
        <f t="shared" si="148"/>
        <v>57869.44444444444</v>
      </c>
      <c r="V245" s="39">
        <f t="shared" si="148"/>
        <v>56486.1111111111</v>
      </c>
      <c r="W245" s="39">
        <f t="shared" si="148"/>
        <v>54872.22222222221</v>
      </c>
      <c r="X245" s="39">
        <f t="shared" si="148"/>
        <v>53027.77777777777</v>
      </c>
      <c r="Y245" s="39">
        <f t="shared" si="148"/>
        <v>50952.77777777777</v>
      </c>
      <c r="Z245" s="39">
        <f t="shared" si="148"/>
        <v>48647.22222222221</v>
      </c>
      <c r="AA245" s="40">
        <f>SUM(E245:Z245)</f>
        <v>1048047.9166666666</v>
      </c>
    </row>
    <row r="246" spans="4:27" ht="15">
      <c r="D246" s="39" t="s">
        <v>88</v>
      </c>
      <c r="E246" s="39">
        <v>0</v>
      </c>
      <c r="F246" s="39"/>
      <c r="G246" s="39"/>
      <c r="H246" s="39">
        <f>$C$230*0.65*0.03</f>
        <v>46410</v>
      </c>
      <c r="I246" s="39">
        <f aca="true" t="shared" si="149" ref="I246:Z246">$C$230*0.65*0.03</f>
        <v>46410</v>
      </c>
      <c r="J246" s="39">
        <f t="shared" si="149"/>
        <v>46410</v>
      </c>
      <c r="K246" s="39">
        <f t="shared" si="149"/>
        <v>46410</v>
      </c>
      <c r="L246" s="39">
        <f t="shared" si="149"/>
        <v>46410</v>
      </c>
      <c r="M246" s="39">
        <f t="shared" si="149"/>
        <v>46410</v>
      </c>
      <c r="N246" s="39">
        <f t="shared" si="149"/>
        <v>46410</v>
      </c>
      <c r="O246" s="39">
        <f t="shared" si="149"/>
        <v>46410</v>
      </c>
      <c r="P246" s="39">
        <f t="shared" si="149"/>
        <v>46410</v>
      </c>
      <c r="Q246" s="39">
        <f t="shared" si="149"/>
        <v>46410</v>
      </c>
      <c r="R246" s="39">
        <f t="shared" si="149"/>
        <v>46410</v>
      </c>
      <c r="S246" s="39">
        <f t="shared" si="149"/>
        <v>46410</v>
      </c>
      <c r="T246" s="39">
        <f t="shared" si="149"/>
        <v>46410</v>
      </c>
      <c r="U246" s="39">
        <f t="shared" si="149"/>
        <v>46410</v>
      </c>
      <c r="V246" s="39">
        <f t="shared" si="149"/>
        <v>46410</v>
      </c>
      <c r="W246" s="39">
        <f t="shared" si="149"/>
        <v>46410</v>
      </c>
      <c r="X246" s="39">
        <f t="shared" si="149"/>
        <v>46410</v>
      </c>
      <c r="Y246" s="39">
        <f t="shared" si="149"/>
        <v>46410</v>
      </c>
      <c r="Z246" s="39">
        <f t="shared" si="149"/>
        <v>46410</v>
      </c>
      <c r="AA246" s="40">
        <f>SUM(E246:Z246)</f>
        <v>881790</v>
      </c>
    </row>
    <row r="247" spans="4:27" ht="15">
      <c r="D247" s="40" t="s">
        <v>80</v>
      </c>
      <c r="E247" s="39">
        <v>0</v>
      </c>
      <c r="F247" s="40">
        <f aca="true" t="shared" si="150" ref="F247:Z247">SUM(F245:F246)</f>
        <v>0</v>
      </c>
      <c r="G247" s="40">
        <f t="shared" si="150"/>
        <v>1556.25</v>
      </c>
      <c r="H247" s="40">
        <f t="shared" si="150"/>
        <v>52635</v>
      </c>
      <c r="I247" s="40">
        <f t="shared" si="150"/>
        <v>102896.11111111111</v>
      </c>
      <c r="J247" s="40">
        <f t="shared" si="150"/>
        <v>104279.44444444444</v>
      </c>
      <c r="K247" s="40">
        <f t="shared" si="150"/>
        <v>105432.22222222222</v>
      </c>
      <c r="L247" s="40">
        <f t="shared" si="150"/>
        <v>106354.44444444444</v>
      </c>
      <c r="M247" s="40">
        <f t="shared" si="150"/>
        <v>107046.11111111111</v>
      </c>
      <c r="N247" s="40">
        <f t="shared" si="150"/>
        <v>107507.22222222222</v>
      </c>
      <c r="O247" s="40">
        <f t="shared" si="150"/>
        <v>107737.77777777778</v>
      </c>
      <c r="P247" s="40">
        <f t="shared" si="150"/>
        <v>107737.77777777778</v>
      </c>
      <c r="Q247" s="40">
        <f t="shared" si="150"/>
        <v>107507.22222222222</v>
      </c>
      <c r="R247" s="40">
        <f t="shared" si="150"/>
        <v>107046.1111111111</v>
      </c>
      <c r="S247" s="40">
        <f t="shared" si="150"/>
        <v>106354.44444444444</v>
      </c>
      <c r="T247" s="40">
        <f t="shared" si="150"/>
        <v>105432.22222222222</v>
      </c>
      <c r="U247" s="40">
        <f t="shared" si="150"/>
        <v>104279.44444444444</v>
      </c>
      <c r="V247" s="40">
        <f t="shared" si="150"/>
        <v>102896.1111111111</v>
      </c>
      <c r="W247" s="40">
        <f t="shared" si="150"/>
        <v>101282.22222222222</v>
      </c>
      <c r="X247" s="40">
        <f t="shared" si="150"/>
        <v>99437.77777777777</v>
      </c>
      <c r="Y247" s="40">
        <f t="shared" si="150"/>
        <v>97362.77777777777</v>
      </c>
      <c r="Z247" s="40">
        <f t="shared" si="150"/>
        <v>95057.22222222222</v>
      </c>
      <c r="AA247" s="40">
        <f>SUM(AA245:AA245)</f>
        <v>1048047.9166666666</v>
      </c>
    </row>
    <row r="249" spans="1:27" ht="15">
      <c r="A249" s="2" t="s">
        <v>34</v>
      </c>
      <c r="B249" s="2" t="s">
        <v>138</v>
      </c>
      <c r="C249" s="24">
        <v>1060000</v>
      </c>
      <c r="D249" s="39" t="s">
        <v>57</v>
      </c>
      <c r="E249" s="39">
        <v>0</v>
      </c>
      <c r="F249" s="39">
        <f>C249/4</f>
        <v>265000</v>
      </c>
      <c r="G249" s="39">
        <f>C249/2</f>
        <v>530000</v>
      </c>
      <c r="H249" s="39">
        <f>C249/4</f>
        <v>265000</v>
      </c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</row>
    <row r="250" spans="4:27" ht="15">
      <c r="D250" s="39" t="s">
        <v>83</v>
      </c>
      <c r="E250" s="39">
        <v>0</v>
      </c>
      <c r="F250" s="39">
        <f>F249</f>
        <v>265000</v>
      </c>
      <c r="G250" s="39">
        <f>F249+G249</f>
        <v>795000</v>
      </c>
      <c r="H250" s="39">
        <f>F249+G249+H249</f>
        <v>1060000</v>
      </c>
      <c r="I250" s="39">
        <f aca="true" t="shared" si="151" ref="I250:Z250">H250-$H250/18</f>
        <v>1001111.1111111111</v>
      </c>
      <c r="J250" s="39">
        <f t="shared" si="151"/>
        <v>942222.2222222222</v>
      </c>
      <c r="K250" s="39">
        <f t="shared" si="151"/>
        <v>883333.3333333334</v>
      </c>
      <c r="L250" s="39">
        <f t="shared" si="151"/>
        <v>824444.4444444445</v>
      </c>
      <c r="M250" s="39">
        <f t="shared" si="151"/>
        <v>765555.5555555556</v>
      </c>
      <c r="N250" s="39">
        <f t="shared" si="151"/>
        <v>706666.6666666667</v>
      </c>
      <c r="O250" s="39">
        <f t="shared" si="151"/>
        <v>647777.7777777779</v>
      </c>
      <c r="P250" s="39">
        <f t="shared" si="151"/>
        <v>588888.888888889</v>
      </c>
      <c r="Q250" s="39">
        <f t="shared" si="151"/>
        <v>530000.0000000001</v>
      </c>
      <c r="R250" s="39">
        <f t="shared" si="151"/>
        <v>471111.11111111124</v>
      </c>
      <c r="S250" s="39">
        <f t="shared" si="151"/>
        <v>412222.22222222236</v>
      </c>
      <c r="T250" s="39">
        <f t="shared" si="151"/>
        <v>353333.3333333335</v>
      </c>
      <c r="U250" s="39">
        <f t="shared" si="151"/>
        <v>294444.4444444446</v>
      </c>
      <c r="V250" s="39">
        <f t="shared" si="151"/>
        <v>235555.55555555574</v>
      </c>
      <c r="W250" s="39">
        <f t="shared" si="151"/>
        <v>176666.66666666686</v>
      </c>
      <c r="X250" s="39">
        <f t="shared" si="151"/>
        <v>117777.77777777797</v>
      </c>
      <c r="Y250" s="39">
        <f t="shared" si="151"/>
        <v>58888.88888888908</v>
      </c>
      <c r="Z250" s="39">
        <f t="shared" si="151"/>
        <v>1.8917489796876907E-10</v>
      </c>
      <c r="AA250" s="39"/>
    </row>
    <row r="251" spans="4:27" ht="15">
      <c r="D251" s="39" t="s">
        <v>84</v>
      </c>
      <c r="E251" s="39">
        <v>0</v>
      </c>
      <c r="F251" s="39">
        <f>$E$6*E250</f>
        <v>0</v>
      </c>
      <c r="G251" s="39">
        <f>F250*$F$6</f>
        <v>1987.5</v>
      </c>
      <c r="H251" s="39">
        <f>G250*$G$6</f>
        <v>7950</v>
      </c>
      <c r="I251" s="39">
        <f>H250*$H$6</f>
        <v>13250</v>
      </c>
      <c r="J251" s="39">
        <f>I250*$I$6</f>
        <v>15016.666666666668</v>
      </c>
      <c r="K251" s="39">
        <f>J250*$J$6</f>
        <v>16488.88888888889</v>
      </c>
      <c r="L251" s="39">
        <f>K250*$K$6</f>
        <v>17666.666666666668</v>
      </c>
      <c r="M251" s="39">
        <f>L250*$L$6</f>
        <v>18550</v>
      </c>
      <c r="N251" s="39">
        <f>M250*$M$6</f>
        <v>19138.88888888889</v>
      </c>
      <c r="O251" s="39">
        <f>N250*$N$6</f>
        <v>19433.333333333332</v>
      </c>
      <c r="P251" s="39">
        <f>O250*$O$6</f>
        <v>19433.333333333332</v>
      </c>
      <c r="Q251" s="39">
        <f>P250*$P$6</f>
        <v>19138.88888888889</v>
      </c>
      <c r="R251" s="39">
        <f>Q250*$Q$6</f>
        <v>18550.000000000004</v>
      </c>
      <c r="S251" s="39">
        <f>R250*$R$6</f>
        <v>17666.66666666667</v>
      </c>
      <c r="T251" s="39">
        <f>S250*$S$6</f>
        <v>16488.888888888894</v>
      </c>
      <c r="U251" s="39">
        <f>T250*$T$6</f>
        <v>15016.666666666675</v>
      </c>
      <c r="V251" s="39">
        <f>U250*$U$6</f>
        <v>13250.00000000001</v>
      </c>
      <c r="W251" s="39">
        <f>V250*$V$6</f>
        <v>11188.8888888889</v>
      </c>
      <c r="X251" s="39">
        <f>W250*$W$6</f>
        <v>8833.333333333345</v>
      </c>
      <c r="Y251" s="39">
        <f>X250*$X$6</f>
        <v>6183.333333333345</v>
      </c>
      <c r="Z251" s="39">
        <f>Y250*$Y$6</f>
        <v>3238.8888888889</v>
      </c>
      <c r="AA251" s="39">
        <f>SUM(E251:Z251)</f>
        <v>278470.8333333335</v>
      </c>
    </row>
    <row r="252" spans="4:27" ht="15">
      <c r="D252" s="39" t="s">
        <v>85</v>
      </c>
      <c r="E252" s="39">
        <v>0</v>
      </c>
      <c r="F252" s="39">
        <v>0</v>
      </c>
      <c r="G252" s="39">
        <v>0</v>
      </c>
      <c r="H252" s="39"/>
      <c r="I252" s="39">
        <f>$H250/18</f>
        <v>58888.88888888889</v>
      </c>
      <c r="J252" s="39">
        <f aca="true" t="shared" si="152" ref="J252:Z252">$H250/18</f>
        <v>58888.88888888889</v>
      </c>
      <c r="K252" s="39">
        <f t="shared" si="152"/>
        <v>58888.88888888889</v>
      </c>
      <c r="L252" s="39">
        <f t="shared" si="152"/>
        <v>58888.88888888889</v>
      </c>
      <c r="M252" s="39">
        <f t="shared" si="152"/>
        <v>58888.88888888889</v>
      </c>
      <c r="N252" s="39">
        <f t="shared" si="152"/>
        <v>58888.88888888889</v>
      </c>
      <c r="O252" s="39">
        <f t="shared" si="152"/>
        <v>58888.88888888889</v>
      </c>
      <c r="P252" s="39">
        <f t="shared" si="152"/>
        <v>58888.88888888889</v>
      </c>
      <c r="Q252" s="39">
        <f t="shared" si="152"/>
        <v>58888.88888888889</v>
      </c>
      <c r="R252" s="39">
        <f t="shared" si="152"/>
        <v>58888.88888888889</v>
      </c>
      <c r="S252" s="39">
        <f t="shared" si="152"/>
        <v>58888.88888888889</v>
      </c>
      <c r="T252" s="39">
        <f t="shared" si="152"/>
        <v>58888.88888888889</v>
      </c>
      <c r="U252" s="39">
        <f t="shared" si="152"/>
        <v>58888.88888888889</v>
      </c>
      <c r="V252" s="39">
        <f t="shared" si="152"/>
        <v>58888.88888888889</v>
      </c>
      <c r="W252" s="39">
        <f t="shared" si="152"/>
        <v>58888.88888888889</v>
      </c>
      <c r="X252" s="39">
        <f t="shared" si="152"/>
        <v>58888.88888888889</v>
      </c>
      <c r="Y252" s="39">
        <f t="shared" si="152"/>
        <v>58888.88888888889</v>
      </c>
      <c r="Z252" s="39">
        <f t="shared" si="152"/>
        <v>58888.88888888889</v>
      </c>
      <c r="AA252" s="39">
        <f>SUM(E252:Z252)</f>
        <v>1060000</v>
      </c>
    </row>
    <row r="253" spans="2:27" ht="15">
      <c r="B253" s="32" t="s">
        <v>87</v>
      </c>
      <c r="C253" s="39">
        <v>1700000</v>
      </c>
      <c r="D253" s="39" t="s">
        <v>86</v>
      </c>
      <c r="E253" s="39">
        <v>0</v>
      </c>
      <c r="F253" s="39">
        <f>F251+F252</f>
        <v>0</v>
      </c>
      <c r="G253" s="39">
        <f aca="true" t="shared" si="153" ref="G253:Z253">G251+G252</f>
        <v>1987.5</v>
      </c>
      <c r="H253" s="39">
        <f t="shared" si="153"/>
        <v>7950</v>
      </c>
      <c r="I253" s="39">
        <f t="shared" si="153"/>
        <v>72138.88888888889</v>
      </c>
      <c r="J253" s="39">
        <f t="shared" si="153"/>
        <v>73905.55555555556</v>
      </c>
      <c r="K253" s="39">
        <f t="shared" si="153"/>
        <v>75377.77777777778</v>
      </c>
      <c r="L253" s="39">
        <f t="shared" si="153"/>
        <v>76555.55555555556</v>
      </c>
      <c r="M253" s="39">
        <f t="shared" si="153"/>
        <v>77438.88888888889</v>
      </c>
      <c r="N253" s="39">
        <f t="shared" si="153"/>
        <v>78027.77777777778</v>
      </c>
      <c r="O253" s="39">
        <f t="shared" si="153"/>
        <v>78322.22222222222</v>
      </c>
      <c r="P253" s="39">
        <f t="shared" si="153"/>
        <v>78322.22222222222</v>
      </c>
      <c r="Q253" s="39">
        <f t="shared" si="153"/>
        <v>78027.77777777778</v>
      </c>
      <c r="R253" s="39">
        <f t="shared" si="153"/>
        <v>77438.88888888889</v>
      </c>
      <c r="S253" s="39">
        <f t="shared" si="153"/>
        <v>76555.55555555556</v>
      </c>
      <c r="T253" s="39">
        <f t="shared" si="153"/>
        <v>75377.77777777778</v>
      </c>
      <c r="U253" s="39">
        <f t="shared" si="153"/>
        <v>73905.55555555556</v>
      </c>
      <c r="V253" s="39">
        <f t="shared" si="153"/>
        <v>72138.8888888889</v>
      </c>
      <c r="W253" s="39">
        <f t="shared" si="153"/>
        <v>70077.7777777778</v>
      </c>
      <c r="X253" s="39">
        <f t="shared" si="153"/>
        <v>67722.22222222223</v>
      </c>
      <c r="Y253" s="39">
        <f t="shared" si="153"/>
        <v>65072.22222222223</v>
      </c>
      <c r="Z253" s="39">
        <f t="shared" si="153"/>
        <v>62127.77777777779</v>
      </c>
      <c r="AA253" s="40">
        <f>SUM(E253:Z253)</f>
        <v>1338470.8333333333</v>
      </c>
    </row>
    <row r="254" spans="4:27" ht="15">
      <c r="D254" s="39" t="s">
        <v>88</v>
      </c>
      <c r="E254" s="39">
        <v>0</v>
      </c>
      <c r="F254" s="39"/>
      <c r="G254" s="39"/>
      <c r="H254" s="39">
        <f>$C$230*0.65*0.03</f>
        <v>46410</v>
      </c>
      <c r="I254" s="39">
        <f aca="true" t="shared" si="154" ref="I254:Z254">$C$230*0.65*0.03</f>
        <v>46410</v>
      </c>
      <c r="J254" s="39">
        <f t="shared" si="154"/>
        <v>46410</v>
      </c>
      <c r="K254" s="39">
        <f t="shared" si="154"/>
        <v>46410</v>
      </c>
      <c r="L254" s="39">
        <f t="shared" si="154"/>
        <v>46410</v>
      </c>
      <c r="M254" s="39">
        <f t="shared" si="154"/>
        <v>46410</v>
      </c>
      <c r="N254" s="39">
        <f t="shared" si="154"/>
        <v>46410</v>
      </c>
      <c r="O254" s="39">
        <f t="shared" si="154"/>
        <v>46410</v>
      </c>
      <c r="P254" s="39">
        <f t="shared" si="154"/>
        <v>46410</v>
      </c>
      <c r="Q254" s="39">
        <f t="shared" si="154"/>
        <v>46410</v>
      </c>
      <c r="R254" s="39">
        <f t="shared" si="154"/>
        <v>46410</v>
      </c>
      <c r="S254" s="39">
        <f t="shared" si="154"/>
        <v>46410</v>
      </c>
      <c r="T254" s="39">
        <f t="shared" si="154"/>
        <v>46410</v>
      </c>
      <c r="U254" s="39">
        <f t="shared" si="154"/>
        <v>46410</v>
      </c>
      <c r="V254" s="39">
        <f t="shared" si="154"/>
        <v>46410</v>
      </c>
      <c r="W254" s="39">
        <f t="shared" si="154"/>
        <v>46410</v>
      </c>
      <c r="X254" s="39">
        <f t="shared" si="154"/>
        <v>46410</v>
      </c>
      <c r="Y254" s="39">
        <f t="shared" si="154"/>
        <v>46410</v>
      </c>
      <c r="Z254" s="39">
        <f t="shared" si="154"/>
        <v>46410</v>
      </c>
      <c r="AA254" s="40">
        <f>SUM(E254:Z254)</f>
        <v>881790</v>
      </c>
    </row>
    <row r="255" spans="4:27" ht="15">
      <c r="D255" s="40" t="s">
        <v>80</v>
      </c>
      <c r="E255" s="39">
        <v>0</v>
      </c>
      <c r="F255" s="40">
        <f aca="true" t="shared" si="155" ref="F255:Z255">SUM(F253:F254)</f>
        <v>0</v>
      </c>
      <c r="G255" s="40">
        <f t="shared" si="155"/>
        <v>1987.5</v>
      </c>
      <c r="H255" s="40">
        <f t="shared" si="155"/>
        <v>54360</v>
      </c>
      <c r="I255" s="40">
        <f t="shared" si="155"/>
        <v>118548.88888888889</v>
      </c>
      <c r="J255" s="40">
        <f t="shared" si="155"/>
        <v>120315.55555555556</v>
      </c>
      <c r="K255" s="40">
        <f t="shared" si="155"/>
        <v>121787.77777777778</v>
      </c>
      <c r="L255" s="40">
        <f t="shared" si="155"/>
        <v>122965.55555555556</v>
      </c>
      <c r="M255" s="40">
        <f t="shared" si="155"/>
        <v>123848.88888888889</v>
      </c>
      <c r="N255" s="40">
        <f t="shared" si="155"/>
        <v>124437.77777777778</v>
      </c>
      <c r="O255" s="40">
        <f t="shared" si="155"/>
        <v>124732.22222222222</v>
      </c>
      <c r="P255" s="40">
        <f t="shared" si="155"/>
        <v>124732.22222222222</v>
      </c>
      <c r="Q255" s="40">
        <f t="shared" si="155"/>
        <v>124437.77777777778</v>
      </c>
      <c r="R255" s="40">
        <f t="shared" si="155"/>
        <v>123848.88888888889</v>
      </c>
      <c r="S255" s="40">
        <f t="shared" si="155"/>
        <v>122965.55555555556</v>
      </c>
      <c r="T255" s="40">
        <f t="shared" si="155"/>
        <v>121787.77777777778</v>
      </c>
      <c r="U255" s="40">
        <f t="shared" si="155"/>
        <v>120315.55555555556</v>
      </c>
      <c r="V255" s="40">
        <f t="shared" si="155"/>
        <v>118548.8888888889</v>
      </c>
      <c r="W255" s="40">
        <f t="shared" si="155"/>
        <v>116487.7777777778</v>
      </c>
      <c r="X255" s="40">
        <f t="shared" si="155"/>
        <v>114132.22222222223</v>
      </c>
      <c r="Y255" s="40">
        <f t="shared" si="155"/>
        <v>111482.22222222223</v>
      </c>
      <c r="Z255" s="40">
        <f t="shared" si="155"/>
        <v>108537.77777777778</v>
      </c>
      <c r="AA255" s="40">
        <f>SUM(AA253:AA253)</f>
        <v>1338470.8333333333</v>
      </c>
    </row>
    <row r="257" spans="1:27" ht="15">
      <c r="A257" s="2" t="s">
        <v>34</v>
      </c>
      <c r="B257" s="2" t="s">
        <v>139</v>
      </c>
      <c r="C257" s="24">
        <v>1020000</v>
      </c>
      <c r="D257" s="39" t="s">
        <v>57</v>
      </c>
      <c r="E257" s="39">
        <v>0</v>
      </c>
      <c r="F257" s="39">
        <f>C257/4</f>
        <v>255000</v>
      </c>
      <c r="G257" s="39">
        <f>C257/2</f>
        <v>510000</v>
      </c>
      <c r="H257" s="39">
        <f>C257/4</f>
        <v>255000</v>
      </c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</row>
    <row r="258" spans="4:27" ht="15">
      <c r="D258" s="39" t="s">
        <v>83</v>
      </c>
      <c r="E258" s="39">
        <v>0</v>
      </c>
      <c r="F258" s="39">
        <f>F257</f>
        <v>255000</v>
      </c>
      <c r="G258" s="39">
        <f>F257+G257</f>
        <v>765000</v>
      </c>
      <c r="H258" s="39">
        <f>F257+G257+H257</f>
        <v>1020000</v>
      </c>
      <c r="I258" s="39">
        <f aca="true" t="shared" si="156" ref="I258:Z258">H258-$H258/18</f>
        <v>963333.3333333334</v>
      </c>
      <c r="J258" s="39">
        <f t="shared" si="156"/>
        <v>906666.6666666667</v>
      </c>
      <c r="K258" s="39">
        <f t="shared" si="156"/>
        <v>850000.0000000001</v>
      </c>
      <c r="L258" s="39">
        <f t="shared" si="156"/>
        <v>793333.3333333335</v>
      </c>
      <c r="M258" s="39">
        <f t="shared" si="156"/>
        <v>736666.6666666669</v>
      </c>
      <c r="N258" s="39">
        <f t="shared" si="156"/>
        <v>680000.0000000002</v>
      </c>
      <c r="O258" s="39">
        <f t="shared" si="156"/>
        <v>623333.3333333336</v>
      </c>
      <c r="P258" s="39">
        <f t="shared" si="156"/>
        <v>566666.666666667</v>
      </c>
      <c r="Q258" s="39">
        <f t="shared" si="156"/>
        <v>510000.0000000003</v>
      </c>
      <c r="R258" s="39">
        <f t="shared" si="156"/>
        <v>453333.3333333336</v>
      </c>
      <c r="S258" s="39">
        <f t="shared" si="156"/>
        <v>396666.6666666669</v>
      </c>
      <c r="T258" s="39">
        <f t="shared" si="156"/>
        <v>340000.00000000023</v>
      </c>
      <c r="U258" s="39">
        <f t="shared" si="156"/>
        <v>283333.33333333355</v>
      </c>
      <c r="V258" s="39">
        <f t="shared" si="156"/>
        <v>226666.6666666669</v>
      </c>
      <c r="W258" s="39">
        <f t="shared" si="156"/>
        <v>170000.00000000023</v>
      </c>
      <c r="X258" s="39">
        <f t="shared" si="156"/>
        <v>113333.33333333358</v>
      </c>
      <c r="Y258" s="39">
        <f t="shared" si="156"/>
        <v>56666.66666666691</v>
      </c>
      <c r="Z258" s="39">
        <f t="shared" si="156"/>
        <v>2.473825588822365E-10</v>
      </c>
      <c r="AA258" s="39"/>
    </row>
    <row r="259" spans="4:27" ht="15">
      <c r="D259" s="39" t="s">
        <v>84</v>
      </c>
      <c r="E259" s="39">
        <v>0</v>
      </c>
      <c r="F259" s="39">
        <f>$E$6*E258</f>
        <v>0</v>
      </c>
      <c r="G259" s="39">
        <f>F258*$F$6</f>
        <v>1912.5</v>
      </c>
      <c r="H259" s="39">
        <f>G258*$G$6</f>
        <v>7650</v>
      </c>
      <c r="I259" s="39">
        <f>H258*$H$6</f>
        <v>12750</v>
      </c>
      <c r="J259" s="39">
        <f>I258*$I$6</f>
        <v>14450.000000000002</v>
      </c>
      <c r="K259" s="39">
        <f>J258*$J$6</f>
        <v>15866.66666666667</v>
      </c>
      <c r="L259" s="39">
        <f>K258*$K$6</f>
        <v>17000.000000000004</v>
      </c>
      <c r="M259" s="39">
        <f>L258*$L$6</f>
        <v>17850.000000000004</v>
      </c>
      <c r="N259" s="39">
        <f>M258*$M$6</f>
        <v>18416.66666666667</v>
      </c>
      <c r="O259" s="39">
        <f>N258*$N$6</f>
        <v>18700.000000000004</v>
      </c>
      <c r="P259" s="39">
        <f>O258*$O$6</f>
        <v>18700.000000000004</v>
      </c>
      <c r="Q259" s="39">
        <f>P258*$P$6</f>
        <v>18416.666666666675</v>
      </c>
      <c r="R259" s="39">
        <f>Q258*$Q$6</f>
        <v>17850.000000000007</v>
      </c>
      <c r="S259" s="39">
        <f>R258*$R$6</f>
        <v>17000.00000000001</v>
      </c>
      <c r="T259" s="39">
        <f>S258*$S$6</f>
        <v>15866.666666666677</v>
      </c>
      <c r="U259" s="39">
        <f>T258*$T$6</f>
        <v>14450.000000000011</v>
      </c>
      <c r="V259" s="39">
        <f>U258*$U$6</f>
        <v>12750.000000000011</v>
      </c>
      <c r="W259" s="39">
        <f>V258*$V$6</f>
        <v>10766.666666666679</v>
      </c>
      <c r="X259" s="39">
        <f>W258*$W$6</f>
        <v>8500.000000000013</v>
      </c>
      <c r="Y259" s="39">
        <f>X258*$X$6</f>
        <v>5950.000000000014</v>
      </c>
      <c r="Z259" s="39">
        <f>Y258*$Y$6</f>
        <v>3116.666666666681</v>
      </c>
      <c r="AA259" s="39">
        <f>SUM(E259:Z259)</f>
        <v>267962.5000000001</v>
      </c>
    </row>
    <row r="260" spans="4:27" ht="15">
      <c r="D260" s="39" t="s">
        <v>85</v>
      </c>
      <c r="E260" s="39">
        <v>0</v>
      </c>
      <c r="F260" s="39">
        <v>0</v>
      </c>
      <c r="G260" s="39">
        <v>0</v>
      </c>
      <c r="H260" s="39"/>
      <c r="I260" s="39">
        <f>$H258/18</f>
        <v>56666.666666666664</v>
      </c>
      <c r="J260" s="39">
        <f aca="true" t="shared" si="157" ref="J260:Z260">$H258/18</f>
        <v>56666.666666666664</v>
      </c>
      <c r="K260" s="39">
        <f t="shared" si="157"/>
        <v>56666.666666666664</v>
      </c>
      <c r="L260" s="39">
        <f t="shared" si="157"/>
        <v>56666.666666666664</v>
      </c>
      <c r="M260" s="39">
        <f t="shared" si="157"/>
        <v>56666.666666666664</v>
      </c>
      <c r="N260" s="39">
        <f t="shared" si="157"/>
        <v>56666.666666666664</v>
      </c>
      <c r="O260" s="39">
        <f t="shared" si="157"/>
        <v>56666.666666666664</v>
      </c>
      <c r="P260" s="39">
        <f t="shared" si="157"/>
        <v>56666.666666666664</v>
      </c>
      <c r="Q260" s="39">
        <f t="shared" si="157"/>
        <v>56666.666666666664</v>
      </c>
      <c r="R260" s="39">
        <f t="shared" si="157"/>
        <v>56666.666666666664</v>
      </c>
      <c r="S260" s="39">
        <f t="shared" si="157"/>
        <v>56666.666666666664</v>
      </c>
      <c r="T260" s="39">
        <f t="shared" si="157"/>
        <v>56666.666666666664</v>
      </c>
      <c r="U260" s="39">
        <f t="shared" si="157"/>
        <v>56666.666666666664</v>
      </c>
      <c r="V260" s="39">
        <f t="shared" si="157"/>
        <v>56666.666666666664</v>
      </c>
      <c r="W260" s="39">
        <f t="shared" si="157"/>
        <v>56666.666666666664</v>
      </c>
      <c r="X260" s="39">
        <f t="shared" si="157"/>
        <v>56666.666666666664</v>
      </c>
      <c r="Y260" s="39">
        <f t="shared" si="157"/>
        <v>56666.666666666664</v>
      </c>
      <c r="Z260" s="39">
        <f t="shared" si="157"/>
        <v>56666.666666666664</v>
      </c>
      <c r="AA260" s="39">
        <f>SUM(E260:Z260)</f>
        <v>1019999.9999999998</v>
      </c>
    </row>
    <row r="261" spans="2:27" ht="15">
      <c r="B261" s="32" t="s">
        <v>87</v>
      </c>
      <c r="C261" s="39">
        <v>1540000</v>
      </c>
      <c r="D261" s="39" t="s">
        <v>86</v>
      </c>
      <c r="E261" s="39">
        <v>0</v>
      </c>
      <c r="F261" s="39">
        <f>F259+F260</f>
        <v>0</v>
      </c>
      <c r="G261" s="39">
        <f aca="true" t="shared" si="158" ref="G261:Z261">G259+G260</f>
        <v>1912.5</v>
      </c>
      <c r="H261" s="39">
        <f t="shared" si="158"/>
        <v>7650</v>
      </c>
      <c r="I261" s="39">
        <f t="shared" si="158"/>
        <v>69416.66666666666</v>
      </c>
      <c r="J261" s="39">
        <f t="shared" si="158"/>
        <v>71116.66666666667</v>
      </c>
      <c r="K261" s="39">
        <f t="shared" si="158"/>
        <v>72533.33333333333</v>
      </c>
      <c r="L261" s="39">
        <f t="shared" si="158"/>
        <v>73666.66666666667</v>
      </c>
      <c r="M261" s="39">
        <f t="shared" si="158"/>
        <v>74516.66666666667</v>
      </c>
      <c r="N261" s="39">
        <f t="shared" si="158"/>
        <v>75083.33333333334</v>
      </c>
      <c r="O261" s="39">
        <f t="shared" si="158"/>
        <v>75366.66666666667</v>
      </c>
      <c r="P261" s="39">
        <f t="shared" si="158"/>
        <v>75366.66666666667</v>
      </c>
      <c r="Q261" s="39">
        <f t="shared" si="158"/>
        <v>75083.33333333334</v>
      </c>
      <c r="R261" s="39">
        <f t="shared" si="158"/>
        <v>74516.66666666667</v>
      </c>
      <c r="S261" s="39">
        <f t="shared" si="158"/>
        <v>73666.66666666667</v>
      </c>
      <c r="T261" s="39">
        <f t="shared" si="158"/>
        <v>72533.33333333334</v>
      </c>
      <c r="U261" s="39">
        <f t="shared" si="158"/>
        <v>71116.66666666667</v>
      </c>
      <c r="V261" s="39">
        <f t="shared" si="158"/>
        <v>69416.66666666667</v>
      </c>
      <c r="W261" s="39">
        <f t="shared" si="158"/>
        <v>67433.33333333334</v>
      </c>
      <c r="X261" s="39">
        <f t="shared" si="158"/>
        <v>65166.66666666668</v>
      </c>
      <c r="Y261" s="39">
        <f t="shared" si="158"/>
        <v>62616.66666666668</v>
      </c>
      <c r="Z261" s="39">
        <f t="shared" si="158"/>
        <v>59783.33333333334</v>
      </c>
      <c r="AA261" s="40">
        <f>SUM(E261:Z261)</f>
        <v>1287962.5</v>
      </c>
    </row>
    <row r="262" spans="4:27" ht="15">
      <c r="D262" s="39" t="s">
        <v>88</v>
      </c>
      <c r="E262" s="39">
        <v>0</v>
      </c>
      <c r="F262" s="39"/>
      <c r="G262" s="39"/>
      <c r="H262" s="39">
        <f>$C$230*0.65*0.03</f>
        <v>46410</v>
      </c>
      <c r="I262" s="39">
        <f aca="true" t="shared" si="159" ref="I262:Z262">$C$230*0.65*0.03</f>
        <v>46410</v>
      </c>
      <c r="J262" s="39">
        <f t="shared" si="159"/>
        <v>46410</v>
      </c>
      <c r="K262" s="39">
        <f t="shared" si="159"/>
        <v>46410</v>
      </c>
      <c r="L262" s="39">
        <f t="shared" si="159"/>
        <v>46410</v>
      </c>
      <c r="M262" s="39">
        <f t="shared" si="159"/>
        <v>46410</v>
      </c>
      <c r="N262" s="39">
        <f t="shared" si="159"/>
        <v>46410</v>
      </c>
      <c r="O262" s="39">
        <f t="shared" si="159"/>
        <v>46410</v>
      </c>
      <c r="P262" s="39">
        <f t="shared" si="159"/>
        <v>46410</v>
      </c>
      <c r="Q262" s="39">
        <f t="shared" si="159"/>
        <v>46410</v>
      </c>
      <c r="R262" s="39">
        <f t="shared" si="159"/>
        <v>46410</v>
      </c>
      <c r="S262" s="39">
        <f t="shared" si="159"/>
        <v>46410</v>
      </c>
      <c r="T262" s="39">
        <f t="shared" si="159"/>
        <v>46410</v>
      </c>
      <c r="U262" s="39">
        <f t="shared" si="159"/>
        <v>46410</v>
      </c>
      <c r="V262" s="39">
        <f t="shared" si="159"/>
        <v>46410</v>
      </c>
      <c r="W262" s="39">
        <f t="shared" si="159"/>
        <v>46410</v>
      </c>
      <c r="X262" s="39">
        <f t="shared" si="159"/>
        <v>46410</v>
      </c>
      <c r="Y262" s="39">
        <f t="shared" si="159"/>
        <v>46410</v>
      </c>
      <c r="Z262" s="39">
        <f t="shared" si="159"/>
        <v>46410</v>
      </c>
      <c r="AA262" s="40">
        <f>SUM(E262:Z262)</f>
        <v>881790</v>
      </c>
    </row>
    <row r="263" spans="4:27" ht="15">
      <c r="D263" s="40" t="s">
        <v>80</v>
      </c>
      <c r="E263" s="39">
        <v>0</v>
      </c>
      <c r="F263" s="40">
        <f aca="true" t="shared" si="160" ref="F263:Z263">SUM(F261:F262)</f>
        <v>0</v>
      </c>
      <c r="G263" s="40">
        <f t="shared" si="160"/>
        <v>1912.5</v>
      </c>
      <c r="H263" s="40">
        <f t="shared" si="160"/>
        <v>54060</v>
      </c>
      <c r="I263" s="40">
        <f t="shared" si="160"/>
        <v>115826.66666666666</v>
      </c>
      <c r="J263" s="40">
        <f t="shared" si="160"/>
        <v>117526.66666666667</v>
      </c>
      <c r="K263" s="40">
        <f t="shared" si="160"/>
        <v>118943.33333333333</v>
      </c>
      <c r="L263" s="40">
        <f t="shared" si="160"/>
        <v>120076.66666666667</v>
      </c>
      <c r="M263" s="40">
        <f t="shared" si="160"/>
        <v>120926.66666666667</v>
      </c>
      <c r="N263" s="40">
        <f t="shared" si="160"/>
        <v>121493.33333333334</v>
      </c>
      <c r="O263" s="40">
        <f t="shared" si="160"/>
        <v>121776.66666666667</v>
      </c>
      <c r="P263" s="40">
        <f t="shared" si="160"/>
        <v>121776.66666666667</v>
      </c>
      <c r="Q263" s="40">
        <f t="shared" si="160"/>
        <v>121493.33333333334</v>
      </c>
      <c r="R263" s="40">
        <f t="shared" si="160"/>
        <v>120926.66666666667</v>
      </c>
      <c r="S263" s="40">
        <f t="shared" si="160"/>
        <v>120076.66666666667</v>
      </c>
      <c r="T263" s="40">
        <f t="shared" si="160"/>
        <v>118943.33333333334</v>
      </c>
      <c r="U263" s="40">
        <f t="shared" si="160"/>
        <v>117526.66666666667</v>
      </c>
      <c r="V263" s="40">
        <f t="shared" si="160"/>
        <v>115826.66666666667</v>
      </c>
      <c r="W263" s="40">
        <f t="shared" si="160"/>
        <v>113843.33333333334</v>
      </c>
      <c r="X263" s="40">
        <f t="shared" si="160"/>
        <v>111576.66666666669</v>
      </c>
      <c r="Y263" s="40">
        <f t="shared" si="160"/>
        <v>109026.66666666669</v>
      </c>
      <c r="Z263" s="40">
        <f t="shared" si="160"/>
        <v>106193.33333333334</v>
      </c>
      <c r="AA263" s="40">
        <f>SUM(AA261:AA261)</f>
        <v>1287962.5</v>
      </c>
    </row>
    <row r="265" spans="1:27" ht="15">
      <c r="A265" s="2" t="s">
        <v>34</v>
      </c>
      <c r="B265" s="2" t="s">
        <v>140</v>
      </c>
      <c r="C265" s="24">
        <v>1010000</v>
      </c>
      <c r="D265" s="39" t="s">
        <v>57</v>
      </c>
      <c r="E265" s="39">
        <v>0</v>
      </c>
      <c r="F265" s="39">
        <f>C265/4</f>
        <v>252500</v>
      </c>
      <c r="G265" s="39">
        <f>C265/2</f>
        <v>505000</v>
      </c>
      <c r="H265" s="39">
        <f>C265/4</f>
        <v>252500</v>
      </c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</row>
    <row r="266" spans="4:27" ht="15">
      <c r="D266" s="39" t="s">
        <v>83</v>
      </c>
      <c r="E266" s="39">
        <v>0</v>
      </c>
      <c r="F266" s="39">
        <f>F265</f>
        <v>252500</v>
      </c>
      <c r="G266" s="39">
        <f>F265+G265</f>
        <v>757500</v>
      </c>
      <c r="H266" s="39">
        <f>F265+G265+H265</f>
        <v>1010000</v>
      </c>
      <c r="I266" s="39">
        <f aca="true" t="shared" si="161" ref="I266:Z266">H266-$H266/18</f>
        <v>953888.8888888889</v>
      </c>
      <c r="J266" s="39">
        <f t="shared" si="161"/>
        <v>897777.7777777778</v>
      </c>
      <c r="K266" s="39">
        <f t="shared" si="161"/>
        <v>841666.6666666666</v>
      </c>
      <c r="L266" s="39">
        <f t="shared" si="161"/>
        <v>785555.5555555555</v>
      </c>
      <c r="M266" s="39">
        <f t="shared" si="161"/>
        <v>729444.4444444444</v>
      </c>
      <c r="N266" s="39">
        <f t="shared" si="161"/>
        <v>673333.3333333333</v>
      </c>
      <c r="O266" s="39">
        <f t="shared" si="161"/>
        <v>617222.2222222221</v>
      </c>
      <c r="P266" s="39">
        <f t="shared" si="161"/>
        <v>561111.111111111</v>
      </c>
      <c r="Q266" s="39">
        <f t="shared" si="161"/>
        <v>504999.9999999999</v>
      </c>
      <c r="R266" s="39">
        <f t="shared" si="161"/>
        <v>448888.88888888876</v>
      </c>
      <c r="S266" s="39">
        <f t="shared" si="161"/>
        <v>392777.77777777764</v>
      </c>
      <c r="T266" s="39">
        <f t="shared" si="161"/>
        <v>336666.6666666665</v>
      </c>
      <c r="U266" s="39">
        <f t="shared" si="161"/>
        <v>280555.5555555554</v>
      </c>
      <c r="V266" s="39">
        <f t="shared" si="161"/>
        <v>224444.44444444426</v>
      </c>
      <c r="W266" s="39">
        <f t="shared" si="161"/>
        <v>168333.33333333314</v>
      </c>
      <c r="X266" s="39">
        <f t="shared" si="161"/>
        <v>112222.22222222203</v>
      </c>
      <c r="Y266" s="39">
        <f t="shared" si="161"/>
        <v>56111.11111111092</v>
      </c>
      <c r="Z266" s="39">
        <f t="shared" si="161"/>
        <v>-1.8917489796876907E-10</v>
      </c>
      <c r="AA266" s="39"/>
    </row>
    <row r="267" spans="4:27" ht="15">
      <c r="D267" s="39" t="s">
        <v>84</v>
      </c>
      <c r="E267" s="39">
        <v>0</v>
      </c>
      <c r="F267" s="39">
        <f>$E$6*E266</f>
        <v>0</v>
      </c>
      <c r="G267" s="39">
        <f>F266*$F$6</f>
        <v>1893.75</v>
      </c>
      <c r="H267" s="39">
        <f>G266*$G$6</f>
        <v>7575</v>
      </c>
      <c r="I267" s="39">
        <f>H266*$H$6</f>
        <v>12625</v>
      </c>
      <c r="J267" s="39">
        <f>I266*$I$6</f>
        <v>14308.333333333334</v>
      </c>
      <c r="K267" s="39">
        <f>J266*$J$6</f>
        <v>15711.111111111111</v>
      </c>
      <c r="L267" s="39">
        <f>K266*$K$6</f>
        <v>16833.333333333332</v>
      </c>
      <c r="M267" s="39">
        <f>L266*$L$6</f>
        <v>17675</v>
      </c>
      <c r="N267" s="39">
        <f>M266*$M$6</f>
        <v>18236.11111111111</v>
      </c>
      <c r="O267" s="39">
        <f>N266*$N$6</f>
        <v>18516.66666666666</v>
      </c>
      <c r="P267" s="39">
        <f>O266*$O$6</f>
        <v>18516.66666666666</v>
      </c>
      <c r="Q267" s="39">
        <f>P266*$P$6</f>
        <v>18236.111111111106</v>
      </c>
      <c r="R267" s="39">
        <f>Q266*$Q$6</f>
        <v>17674.999999999993</v>
      </c>
      <c r="S267" s="39">
        <f>R266*$R$6</f>
        <v>16833.33333333333</v>
      </c>
      <c r="T267" s="39">
        <f>S266*$S$6</f>
        <v>15711.111111111106</v>
      </c>
      <c r="U267" s="39">
        <f>T266*$T$6</f>
        <v>14308.333333333328</v>
      </c>
      <c r="V267" s="39">
        <f>U266*$U$6</f>
        <v>12624.999999999995</v>
      </c>
      <c r="W267" s="39">
        <f>V266*$V$6</f>
        <v>10661.111111111104</v>
      </c>
      <c r="X267" s="39">
        <f>W266*$W$6</f>
        <v>8416.666666666659</v>
      </c>
      <c r="Y267" s="39">
        <f>X266*$X$6</f>
        <v>5891.666666666658</v>
      </c>
      <c r="Z267" s="39">
        <f>Y266*$Y$6</f>
        <v>3086.1111111111013</v>
      </c>
      <c r="AA267" s="39">
        <f>SUM(E267:Z267)</f>
        <v>265335.4166666666</v>
      </c>
    </row>
    <row r="268" spans="4:27" ht="15">
      <c r="D268" s="39" t="s">
        <v>85</v>
      </c>
      <c r="E268" s="39">
        <v>0</v>
      </c>
      <c r="F268" s="39">
        <v>0</v>
      </c>
      <c r="G268" s="39">
        <v>0</v>
      </c>
      <c r="H268" s="39"/>
      <c r="I268" s="39">
        <f>$H266/18</f>
        <v>56111.11111111111</v>
      </c>
      <c r="J268" s="39">
        <f aca="true" t="shared" si="162" ref="J268:Z268">$H266/18</f>
        <v>56111.11111111111</v>
      </c>
      <c r="K268" s="39">
        <f t="shared" si="162"/>
        <v>56111.11111111111</v>
      </c>
      <c r="L268" s="39">
        <f t="shared" si="162"/>
        <v>56111.11111111111</v>
      </c>
      <c r="M268" s="39">
        <f t="shared" si="162"/>
        <v>56111.11111111111</v>
      </c>
      <c r="N268" s="39">
        <f t="shared" si="162"/>
        <v>56111.11111111111</v>
      </c>
      <c r="O268" s="39">
        <f t="shared" si="162"/>
        <v>56111.11111111111</v>
      </c>
      <c r="P268" s="39">
        <f t="shared" si="162"/>
        <v>56111.11111111111</v>
      </c>
      <c r="Q268" s="39">
        <f t="shared" si="162"/>
        <v>56111.11111111111</v>
      </c>
      <c r="R268" s="39">
        <f t="shared" si="162"/>
        <v>56111.11111111111</v>
      </c>
      <c r="S268" s="39">
        <f t="shared" si="162"/>
        <v>56111.11111111111</v>
      </c>
      <c r="T268" s="39">
        <f t="shared" si="162"/>
        <v>56111.11111111111</v>
      </c>
      <c r="U268" s="39">
        <f t="shared" si="162"/>
        <v>56111.11111111111</v>
      </c>
      <c r="V268" s="39">
        <f t="shared" si="162"/>
        <v>56111.11111111111</v>
      </c>
      <c r="W268" s="39">
        <f t="shared" si="162"/>
        <v>56111.11111111111</v>
      </c>
      <c r="X268" s="39">
        <f t="shared" si="162"/>
        <v>56111.11111111111</v>
      </c>
      <c r="Y268" s="39">
        <f t="shared" si="162"/>
        <v>56111.11111111111</v>
      </c>
      <c r="Z268" s="39">
        <f t="shared" si="162"/>
        <v>56111.11111111111</v>
      </c>
      <c r="AA268" s="39">
        <f>SUM(E268:Z268)</f>
        <v>1010000.0000000001</v>
      </c>
    </row>
    <row r="269" spans="2:27" ht="15">
      <c r="B269" s="32" t="s">
        <v>87</v>
      </c>
      <c r="C269" s="39">
        <v>1590000</v>
      </c>
      <c r="D269" s="39" t="s">
        <v>86</v>
      </c>
      <c r="E269" s="39">
        <v>0</v>
      </c>
      <c r="F269" s="39">
        <f>F267+F268</f>
        <v>0</v>
      </c>
      <c r="G269" s="39">
        <f aca="true" t="shared" si="163" ref="G269:Z269">G267+G268</f>
        <v>1893.75</v>
      </c>
      <c r="H269" s="39">
        <f t="shared" si="163"/>
        <v>7575</v>
      </c>
      <c r="I269" s="39">
        <f t="shared" si="163"/>
        <v>68736.11111111111</v>
      </c>
      <c r="J269" s="39">
        <f t="shared" si="163"/>
        <v>70419.44444444444</v>
      </c>
      <c r="K269" s="39">
        <f t="shared" si="163"/>
        <v>71822.22222222222</v>
      </c>
      <c r="L269" s="39">
        <f t="shared" si="163"/>
        <v>72944.44444444444</v>
      </c>
      <c r="M269" s="39">
        <f t="shared" si="163"/>
        <v>73786.11111111111</v>
      </c>
      <c r="N269" s="39">
        <f t="shared" si="163"/>
        <v>74347.22222222222</v>
      </c>
      <c r="O269" s="39">
        <f t="shared" si="163"/>
        <v>74627.77777777777</v>
      </c>
      <c r="P269" s="39">
        <f t="shared" si="163"/>
        <v>74627.77777777777</v>
      </c>
      <c r="Q269" s="39">
        <f t="shared" si="163"/>
        <v>74347.22222222222</v>
      </c>
      <c r="R269" s="39">
        <f t="shared" si="163"/>
        <v>73786.1111111111</v>
      </c>
      <c r="S269" s="39">
        <f t="shared" si="163"/>
        <v>72944.44444444444</v>
      </c>
      <c r="T269" s="39">
        <f t="shared" si="163"/>
        <v>71822.22222222222</v>
      </c>
      <c r="U269" s="39">
        <f t="shared" si="163"/>
        <v>70419.44444444444</v>
      </c>
      <c r="V269" s="39">
        <f t="shared" si="163"/>
        <v>68736.11111111111</v>
      </c>
      <c r="W269" s="39">
        <f t="shared" si="163"/>
        <v>66772.22222222222</v>
      </c>
      <c r="X269" s="39">
        <f t="shared" si="163"/>
        <v>64527.77777777777</v>
      </c>
      <c r="Y269" s="39">
        <f t="shared" si="163"/>
        <v>62002.77777777777</v>
      </c>
      <c r="Z269" s="39">
        <f t="shared" si="163"/>
        <v>59197.22222222221</v>
      </c>
      <c r="AA269" s="40">
        <f>SUM(E269:Z269)</f>
        <v>1275335.4166666667</v>
      </c>
    </row>
    <row r="270" spans="4:27" ht="15">
      <c r="D270" s="39" t="s">
        <v>88</v>
      </c>
      <c r="E270" s="39">
        <v>0</v>
      </c>
      <c r="F270" s="39"/>
      <c r="G270" s="39"/>
      <c r="H270" s="39">
        <f>$C$230*0.65*0.03</f>
        <v>46410</v>
      </c>
      <c r="I270" s="39">
        <f aca="true" t="shared" si="164" ref="I270:Z270">$C$230*0.65*0.03</f>
        <v>46410</v>
      </c>
      <c r="J270" s="39">
        <f t="shared" si="164"/>
        <v>46410</v>
      </c>
      <c r="K270" s="39">
        <f t="shared" si="164"/>
        <v>46410</v>
      </c>
      <c r="L270" s="39">
        <f t="shared" si="164"/>
        <v>46410</v>
      </c>
      <c r="M270" s="39">
        <f t="shared" si="164"/>
        <v>46410</v>
      </c>
      <c r="N270" s="39">
        <f t="shared" si="164"/>
        <v>46410</v>
      </c>
      <c r="O270" s="39">
        <f t="shared" si="164"/>
        <v>46410</v>
      </c>
      <c r="P270" s="39">
        <f t="shared" si="164"/>
        <v>46410</v>
      </c>
      <c r="Q270" s="39">
        <f t="shared" si="164"/>
        <v>46410</v>
      </c>
      <c r="R270" s="39">
        <f t="shared" si="164"/>
        <v>46410</v>
      </c>
      <c r="S270" s="39">
        <f t="shared" si="164"/>
        <v>46410</v>
      </c>
      <c r="T270" s="39">
        <f t="shared" si="164"/>
        <v>46410</v>
      </c>
      <c r="U270" s="39">
        <f t="shared" si="164"/>
        <v>46410</v>
      </c>
      <c r="V270" s="39">
        <f t="shared" si="164"/>
        <v>46410</v>
      </c>
      <c r="W270" s="39">
        <f t="shared" si="164"/>
        <v>46410</v>
      </c>
      <c r="X270" s="39">
        <f t="shared" si="164"/>
        <v>46410</v>
      </c>
      <c r="Y270" s="39">
        <f t="shared" si="164"/>
        <v>46410</v>
      </c>
      <c r="Z270" s="39">
        <f t="shared" si="164"/>
        <v>46410</v>
      </c>
      <c r="AA270" s="40">
        <f>SUM(E270:Z270)</f>
        <v>881790</v>
      </c>
    </row>
    <row r="271" spans="4:27" ht="15">
      <c r="D271" s="40" t="s">
        <v>80</v>
      </c>
      <c r="E271" s="39">
        <v>0</v>
      </c>
      <c r="F271" s="40">
        <f aca="true" t="shared" si="165" ref="F271:Z271">SUM(F269:F270)</f>
        <v>0</v>
      </c>
      <c r="G271" s="40">
        <f t="shared" si="165"/>
        <v>1893.75</v>
      </c>
      <c r="H271" s="40">
        <f t="shared" si="165"/>
        <v>53985</v>
      </c>
      <c r="I271" s="40">
        <f t="shared" si="165"/>
        <v>115146.11111111111</v>
      </c>
      <c r="J271" s="40">
        <f t="shared" si="165"/>
        <v>116829.44444444444</v>
      </c>
      <c r="K271" s="40">
        <f t="shared" si="165"/>
        <v>118232.22222222222</v>
      </c>
      <c r="L271" s="40">
        <f t="shared" si="165"/>
        <v>119354.44444444444</v>
      </c>
      <c r="M271" s="40">
        <f t="shared" si="165"/>
        <v>120196.11111111111</v>
      </c>
      <c r="N271" s="40">
        <f t="shared" si="165"/>
        <v>120757.22222222222</v>
      </c>
      <c r="O271" s="40">
        <f t="shared" si="165"/>
        <v>121037.77777777777</v>
      </c>
      <c r="P271" s="40">
        <f t="shared" si="165"/>
        <v>121037.77777777777</v>
      </c>
      <c r="Q271" s="40">
        <f t="shared" si="165"/>
        <v>120757.22222222222</v>
      </c>
      <c r="R271" s="40">
        <f t="shared" si="165"/>
        <v>120196.1111111111</v>
      </c>
      <c r="S271" s="40">
        <f t="shared" si="165"/>
        <v>119354.44444444444</v>
      </c>
      <c r="T271" s="40">
        <f t="shared" si="165"/>
        <v>118232.22222222222</v>
      </c>
      <c r="U271" s="40">
        <f t="shared" si="165"/>
        <v>116829.44444444444</v>
      </c>
      <c r="V271" s="40">
        <f t="shared" si="165"/>
        <v>115146.11111111111</v>
      </c>
      <c r="W271" s="40">
        <f t="shared" si="165"/>
        <v>113182.22222222222</v>
      </c>
      <c r="X271" s="40">
        <f t="shared" si="165"/>
        <v>110937.77777777777</v>
      </c>
      <c r="Y271" s="40">
        <f t="shared" si="165"/>
        <v>108412.77777777777</v>
      </c>
      <c r="Z271" s="40">
        <f t="shared" si="165"/>
        <v>105607.22222222222</v>
      </c>
      <c r="AA271" s="40">
        <f>SUM(AA269:AA269)</f>
        <v>1275335.4166666667</v>
      </c>
    </row>
    <row r="273" spans="1:27" ht="15">
      <c r="A273" s="2" t="s">
        <v>34</v>
      </c>
      <c r="B273" s="2" t="s">
        <v>141</v>
      </c>
      <c r="C273" s="24">
        <v>750000</v>
      </c>
      <c r="D273" s="39" t="s">
        <v>57</v>
      </c>
      <c r="E273" s="39">
        <v>0</v>
      </c>
      <c r="F273" s="39">
        <f>C273/4</f>
        <v>187500</v>
      </c>
      <c r="G273" s="39">
        <f>C273/2</f>
        <v>375000</v>
      </c>
      <c r="H273" s="39">
        <f>C273/4</f>
        <v>187500</v>
      </c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</row>
    <row r="274" spans="4:27" ht="15">
      <c r="D274" s="39" t="s">
        <v>83</v>
      </c>
      <c r="E274" s="39">
        <v>0</v>
      </c>
      <c r="F274" s="39">
        <f>F273</f>
        <v>187500</v>
      </c>
      <c r="G274" s="39">
        <f>F273+G273</f>
        <v>562500</v>
      </c>
      <c r="H274" s="39">
        <f>F273+G273+H273</f>
        <v>750000</v>
      </c>
      <c r="I274" s="39">
        <f aca="true" t="shared" si="166" ref="I274:Z274">H274-$H274/18</f>
        <v>708333.3333333334</v>
      </c>
      <c r="J274" s="39">
        <f t="shared" si="166"/>
        <v>666666.6666666667</v>
      </c>
      <c r="K274" s="39">
        <f t="shared" si="166"/>
        <v>625000.0000000001</v>
      </c>
      <c r="L274" s="39">
        <f t="shared" si="166"/>
        <v>583333.3333333335</v>
      </c>
      <c r="M274" s="39">
        <f t="shared" si="166"/>
        <v>541666.6666666669</v>
      </c>
      <c r="N274" s="39">
        <f t="shared" si="166"/>
        <v>500000.0000000002</v>
      </c>
      <c r="O274" s="39">
        <f t="shared" si="166"/>
        <v>458333.3333333335</v>
      </c>
      <c r="P274" s="39">
        <f t="shared" si="166"/>
        <v>416666.6666666668</v>
      </c>
      <c r="Q274" s="39">
        <f t="shared" si="166"/>
        <v>375000.0000000001</v>
      </c>
      <c r="R274" s="39">
        <f t="shared" si="166"/>
        <v>333333.33333333343</v>
      </c>
      <c r="S274" s="39">
        <f t="shared" si="166"/>
        <v>291666.66666666674</v>
      </c>
      <c r="T274" s="39">
        <f t="shared" si="166"/>
        <v>250000.0000000001</v>
      </c>
      <c r="U274" s="39">
        <f t="shared" si="166"/>
        <v>208333.33333333343</v>
      </c>
      <c r="V274" s="39">
        <f t="shared" si="166"/>
        <v>166666.66666666677</v>
      </c>
      <c r="W274" s="39">
        <f t="shared" si="166"/>
        <v>125000.00000000012</v>
      </c>
      <c r="X274" s="39">
        <f t="shared" si="166"/>
        <v>83333.33333333346</v>
      </c>
      <c r="Y274" s="39">
        <f t="shared" si="166"/>
        <v>41666.666666666795</v>
      </c>
      <c r="Z274" s="39">
        <f t="shared" si="166"/>
        <v>1.3096723705530167E-10</v>
      </c>
      <c r="AA274" s="39"/>
    </row>
    <row r="275" spans="4:27" ht="15">
      <c r="D275" s="39" t="s">
        <v>84</v>
      </c>
      <c r="E275" s="39">
        <v>0</v>
      </c>
      <c r="F275" s="39">
        <f>$E$6*E274</f>
        <v>0</v>
      </c>
      <c r="G275" s="39">
        <f>F274*$F$6</f>
        <v>1406.25</v>
      </c>
      <c r="H275" s="39">
        <f>G274*$G$6</f>
        <v>5625</v>
      </c>
      <c r="I275" s="39">
        <f>H274*$H$6</f>
        <v>9375</v>
      </c>
      <c r="J275" s="39">
        <f>I274*$I$6</f>
        <v>10625.000000000002</v>
      </c>
      <c r="K275" s="39">
        <f>J274*$J$6</f>
        <v>11666.66666666667</v>
      </c>
      <c r="L275" s="39">
        <f>K274*$K$6</f>
        <v>12500.000000000002</v>
      </c>
      <c r="M275" s="39">
        <f>L274*$L$6</f>
        <v>13125.000000000004</v>
      </c>
      <c r="N275" s="39">
        <f>M274*$M$6</f>
        <v>13541.66666666667</v>
      </c>
      <c r="O275" s="39">
        <f>N274*$N$6</f>
        <v>13750.000000000004</v>
      </c>
      <c r="P275" s="39">
        <f>O274*$O$6</f>
        <v>13750.000000000002</v>
      </c>
      <c r="Q275" s="39">
        <f>P274*$P$6</f>
        <v>13541.666666666668</v>
      </c>
      <c r="R275" s="39">
        <f>Q274*$Q$6</f>
        <v>13125.000000000002</v>
      </c>
      <c r="S275" s="39">
        <f>R274*$R$6</f>
        <v>12500.000000000004</v>
      </c>
      <c r="T275" s="39">
        <f>S274*$S$6</f>
        <v>11666.66666666667</v>
      </c>
      <c r="U275" s="39">
        <f>T274*$T$6</f>
        <v>10625.000000000004</v>
      </c>
      <c r="V275" s="39">
        <f>U274*$U$6</f>
        <v>9375.000000000005</v>
      </c>
      <c r="W275" s="39">
        <f>V274*$V$6</f>
        <v>7916.666666666673</v>
      </c>
      <c r="X275" s="39">
        <f>W274*$W$6</f>
        <v>6250.000000000007</v>
      </c>
      <c r="Y275" s="39">
        <f>X274*$X$6</f>
        <v>4375.000000000007</v>
      </c>
      <c r="Z275" s="39">
        <f>Y274*$Y$6</f>
        <v>2291.6666666666742</v>
      </c>
      <c r="AA275" s="39">
        <f>SUM(E275:Z275)</f>
        <v>197031.25000000006</v>
      </c>
    </row>
    <row r="276" spans="4:27" ht="15">
      <c r="D276" s="39" t="s">
        <v>85</v>
      </c>
      <c r="E276" s="39">
        <v>0</v>
      </c>
      <c r="F276" s="39">
        <v>0</v>
      </c>
      <c r="G276" s="39">
        <v>0</v>
      </c>
      <c r="H276" s="39"/>
      <c r="I276" s="39">
        <f>$H274/18</f>
        <v>41666.666666666664</v>
      </c>
      <c r="J276" s="39">
        <f aca="true" t="shared" si="167" ref="J276:Z276">$H274/18</f>
        <v>41666.666666666664</v>
      </c>
      <c r="K276" s="39">
        <f t="shared" si="167"/>
        <v>41666.666666666664</v>
      </c>
      <c r="L276" s="39">
        <f t="shared" si="167"/>
        <v>41666.666666666664</v>
      </c>
      <c r="M276" s="39">
        <f t="shared" si="167"/>
        <v>41666.666666666664</v>
      </c>
      <c r="N276" s="39">
        <f t="shared" si="167"/>
        <v>41666.666666666664</v>
      </c>
      <c r="O276" s="39">
        <f t="shared" si="167"/>
        <v>41666.666666666664</v>
      </c>
      <c r="P276" s="39">
        <f t="shared" si="167"/>
        <v>41666.666666666664</v>
      </c>
      <c r="Q276" s="39">
        <f t="shared" si="167"/>
        <v>41666.666666666664</v>
      </c>
      <c r="R276" s="39">
        <f t="shared" si="167"/>
        <v>41666.666666666664</v>
      </c>
      <c r="S276" s="39">
        <f t="shared" si="167"/>
        <v>41666.666666666664</v>
      </c>
      <c r="T276" s="39">
        <f t="shared" si="167"/>
        <v>41666.666666666664</v>
      </c>
      <c r="U276" s="39">
        <f t="shared" si="167"/>
        <v>41666.666666666664</v>
      </c>
      <c r="V276" s="39">
        <f t="shared" si="167"/>
        <v>41666.666666666664</v>
      </c>
      <c r="W276" s="39">
        <f t="shared" si="167"/>
        <v>41666.666666666664</v>
      </c>
      <c r="X276" s="39">
        <f t="shared" si="167"/>
        <v>41666.666666666664</v>
      </c>
      <c r="Y276" s="39">
        <f t="shared" si="167"/>
        <v>41666.666666666664</v>
      </c>
      <c r="Z276" s="39">
        <f t="shared" si="167"/>
        <v>41666.666666666664</v>
      </c>
      <c r="AA276" s="39">
        <f>SUM(E276:Z276)</f>
        <v>749999.9999999999</v>
      </c>
    </row>
    <row r="277" spans="2:27" ht="15">
      <c r="B277" s="32" t="s">
        <v>87</v>
      </c>
      <c r="C277" s="39">
        <v>1080000</v>
      </c>
      <c r="D277" s="39" t="s">
        <v>86</v>
      </c>
      <c r="E277" s="39">
        <v>0</v>
      </c>
      <c r="F277" s="39">
        <f>F275+F276</f>
        <v>0</v>
      </c>
      <c r="G277" s="39">
        <f aca="true" t="shared" si="168" ref="G277:Z277">G275+G276</f>
        <v>1406.25</v>
      </c>
      <c r="H277" s="39">
        <f t="shared" si="168"/>
        <v>5625</v>
      </c>
      <c r="I277" s="39">
        <f t="shared" si="168"/>
        <v>51041.666666666664</v>
      </c>
      <c r="J277" s="39">
        <f t="shared" si="168"/>
        <v>52291.666666666664</v>
      </c>
      <c r="K277" s="39">
        <f t="shared" si="168"/>
        <v>53333.333333333336</v>
      </c>
      <c r="L277" s="39">
        <f t="shared" si="168"/>
        <v>54166.666666666664</v>
      </c>
      <c r="M277" s="39">
        <f t="shared" si="168"/>
        <v>54791.66666666667</v>
      </c>
      <c r="N277" s="39">
        <f t="shared" si="168"/>
        <v>55208.333333333336</v>
      </c>
      <c r="O277" s="39">
        <f t="shared" si="168"/>
        <v>55416.66666666667</v>
      </c>
      <c r="P277" s="39">
        <f t="shared" si="168"/>
        <v>55416.666666666664</v>
      </c>
      <c r="Q277" s="39">
        <f t="shared" si="168"/>
        <v>55208.33333333333</v>
      </c>
      <c r="R277" s="39">
        <f t="shared" si="168"/>
        <v>54791.666666666664</v>
      </c>
      <c r="S277" s="39">
        <f t="shared" si="168"/>
        <v>54166.66666666667</v>
      </c>
      <c r="T277" s="39">
        <f t="shared" si="168"/>
        <v>53333.333333333336</v>
      </c>
      <c r="U277" s="39">
        <f t="shared" si="168"/>
        <v>52291.66666666667</v>
      </c>
      <c r="V277" s="39">
        <f t="shared" si="168"/>
        <v>51041.66666666667</v>
      </c>
      <c r="W277" s="39">
        <f t="shared" si="168"/>
        <v>49583.333333333336</v>
      </c>
      <c r="X277" s="39">
        <f t="shared" si="168"/>
        <v>47916.66666666667</v>
      </c>
      <c r="Y277" s="39">
        <f t="shared" si="168"/>
        <v>46041.66666666667</v>
      </c>
      <c r="Z277" s="39">
        <f t="shared" si="168"/>
        <v>43958.333333333336</v>
      </c>
      <c r="AA277" s="40">
        <f>SUM(E277:Z277)</f>
        <v>947031.2499999999</v>
      </c>
    </row>
    <row r="278" spans="4:27" ht="15">
      <c r="D278" s="39" t="s">
        <v>88</v>
      </c>
      <c r="E278" s="39">
        <v>0</v>
      </c>
      <c r="F278" s="39"/>
      <c r="G278" s="39"/>
      <c r="H278" s="39">
        <f>$C$230*0.65*0.03</f>
        <v>46410</v>
      </c>
      <c r="I278" s="39">
        <f aca="true" t="shared" si="169" ref="I278:Z278">$C$230*0.65*0.03</f>
        <v>46410</v>
      </c>
      <c r="J278" s="39">
        <f t="shared" si="169"/>
        <v>46410</v>
      </c>
      <c r="K278" s="39">
        <f t="shared" si="169"/>
        <v>46410</v>
      </c>
      <c r="L278" s="39">
        <f t="shared" si="169"/>
        <v>46410</v>
      </c>
      <c r="M278" s="39">
        <f t="shared" si="169"/>
        <v>46410</v>
      </c>
      <c r="N278" s="39">
        <f t="shared" si="169"/>
        <v>46410</v>
      </c>
      <c r="O278" s="39">
        <f t="shared" si="169"/>
        <v>46410</v>
      </c>
      <c r="P278" s="39">
        <f t="shared" si="169"/>
        <v>46410</v>
      </c>
      <c r="Q278" s="39">
        <f t="shared" si="169"/>
        <v>46410</v>
      </c>
      <c r="R278" s="39">
        <f t="shared" si="169"/>
        <v>46410</v>
      </c>
      <c r="S278" s="39">
        <f t="shared" si="169"/>
        <v>46410</v>
      </c>
      <c r="T278" s="39">
        <f t="shared" si="169"/>
        <v>46410</v>
      </c>
      <c r="U278" s="39">
        <f t="shared" si="169"/>
        <v>46410</v>
      </c>
      <c r="V278" s="39">
        <f t="shared" si="169"/>
        <v>46410</v>
      </c>
      <c r="W278" s="39">
        <f t="shared" si="169"/>
        <v>46410</v>
      </c>
      <c r="X278" s="39">
        <f t="shared" si="169"/>
        <v>46410</v>
      </c>
      <c r="Y278" s="39">
        <f t="shared" si="169"/>
        <v>46410</v>
      </c>
      <c r="Z278" s="39">
        <f t="shared" si="169"/>
        <v>46410</v>
      </c>
      <c r="AA278" s="40">
        <f>SUM(E278:Z278)</f>
        <v>881790</v>
      </c>
    </row>
    <row r="279" spans="4:27" ht="15">
      <c r="D279" s="40" t="s">
        <v>80</v>
      </c>
      <c r="E279" s="39">
        <v>0</v>
      </c>
      <c r="F279" s="40">
        <f aca="true" t="shared" si="170" ref="F279:Z279">SUM(F277:F278)</f>
        <v>0</v>
      </c>
      <c r="G279" s="40">
        <f t="shared" si="170"/>
        <v>1406.25</v>
      </c>
      <c r="H279" s="40">
        <f t="shared" si="170"/>
        <v>52035</v>
      </c>
      <c r="I279" s="40">
        <f t="shared" si="170"/>
        <v>97451.66666666666</v>
      </c>
      <c r="J279" s="40">
        <f t="shared" si="170"/>
        <v>98701.66666666666</v>
      </c>
      <c r="K279" s="40">
        <f t="shared" si="170"/>
        <v>99743.33333333334</v>
      </c>
      <c r="L279" s="40">
        <f t="shared" si="170"/>
        <v>100576.66666666666</v>
      </c>
      <c r="M279" s="40">
        <f t="shared" si="170"/>
        <v>101201.66666666667</v>
      </c>
      <c r="N279" s="40">
        <f t="shared" si="170"/>
        <v>101618.33333333334</v>
      </c>
      <c r="O279" s="40">
        <f t="shared" si="170"/>
        <v>101826.66666666667</v>
      </c>
      <c r="P279" s="40">
        <f t="shared" si="170"/>
        <v>101826.66666666666</v>
      </c>
      <c r="Q279" s="40">
        <f t="shared" si="170"/>
        <v>101618.33333333333</v>
      </c>
      <c r="R279" s="40">
        <f t="shared" si="170"/>
        <v>101201.66666666666</v>
      </c>
      <c r="S279" s="40">
        <f t="shared" si="170"/>
        <v>100576.66666666667</v>
      </c>
      <c r="T279" s="40">
        <f t="shared" si="170"/>
        <v>99743.33333333334</v>
      </c>
      <c r="U279" s="40">
        <f t="shared" si="170"/>
        <v>98701.66666666667</v>
      </c>
      <c r="V279" s="40">
        <f t="shared" si="170"/>
        <v>97451.66666666667</v>
      </c>
      <c r="W279" s="40">
        <f t="shared" si="170"/>
        <v>95993.33333333334</v>
      </c>
      <c r="X279" s="40">
        <f t="shared" si="170"/>
        <v>94326.66666666667</v>
      </c>
      <c r="Y279" s="40">
        <f t="shared" si="170"/>
        <v>92451.66666666667</v>
      </c>
      <c r="Z279" s="40">
        <f t="shared" si="170"/>
        <v>90368.33333333334</v>
      </c>
      <c r="AA279" s="40">
        <f>SUM(AA277:AA277)</f>
        <v>947031.2499999999</v>
      </c>
    </row>
    <row r="281" spans="1:27" ht="15">
      <c r="A281" s="2" t="s">
        <v>34</v>
      </c>
      <c r="B281" s="2" t="s">
        <v>142</v>
      </c>
      <c r="C281" s="24">
        <v>800000</v>
      </c>
      <c r="D281" s="39" t="s">
        <v>57</v>
      </c>
      <c r="E281" s="39">
        <v>0</v>
      </c>
      <c r="F281" s="39">
        <f>C281/4</f>
        <v>200000</v>
      </c>
      <c r="G281" s="39">
        <f>C281/2</f>
        <v>400000</v>
      </c>
      <c r="H281" s="39">
        <f>C281/4</f>
        <v>200000</v>
      </c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</row>
    <row r="282" spans="4:27" ht="15">
      <c r="D282" s="39" t="s">
        <v>83</v>
      </c>
      <c r="E282" s="39">
        <v>0</v>
      </c>
      <c r="F282" s="39">
        <f>F281</f>
        <v>200000</v>
      </c>
      <c r="G282" s="39">
        <f>F281+G281</f>
        <v>600000</v>
      </c>
      <c r="H282" s="39">
        <f>F281+G281+H281</f>
        <v>800000</v>
      </c>
      <c r="I282" s="39">
        <f aca="true" t="shared" si="171" ref="I282:Z282">H282-$H282/18</f>
        <v>755555.5555555555</v>
      </c>
      <c r="J282" s="39">
        <f t="shared" si="171"/>
        <v>711111.111111111</v>
      </c>
      <c r="K282" s="39">
        <f t="shared" si="171"/>
        <v>666666.6666666665</v>
      </c>
      <c r="L282" s="39">
        <f t="shared" si="171"/>
        <v>622222.222222222</v>
      </c>
      <c r="M282" s="39">
        <f t="shared" si="171"/>
        <v>577777.7777777775</v>
      </c>
      <c r="N282" s="39">
        <f t="shared" si="171"/>
        <v>533333.333333333</v>
      </c>
      <c r="O282" s="39">
        <f t="shared" si="171"/>
        <v>488888.8888888886</v>
      </c>
      <c r="P282" s="39">
        <f t="shared" si="171"/>
        <v>444444.44444444415</v>
      </c>
      <c r="Q282" s="39">
        <f t="shared" si="171"/>
        <v>399999.9999999997</v>
      </c>
      <c r="R282" s="39">
        <f t="shared" si="171"/>
        <v>355555.5555555553</v>
      </c>
      <c r="S282" s="39">
        <f t="shared" si="171"/>
        <v>311111.11111111083</v>
      </c>
      <c r="T282" s="39">
        <f t="shared" si="171"/>
        <v>266666.6666666664</v>
      </c>
      <c r="U282" s="39">
        <f t="shared" si="171"/>
        <v>222222.22222222196</v>
      </c>
      <c r="V282" s="39">
        <f t="shared" si="171"/>
        <v>177777.77777777752</v>
      </c>
      <c r="W282" s="39">
        <f t="shared" si="171"/>
        <v>133333.33333333308</v>
      </c>
      <c r="X282" s="39">
        <f t="shared" si="171"/>
        <v>88888.88888888864</v>
      </c>
      <c r="Y282" s="39">
        <f t="shared" si="171"/>
        <v>44444.4444444442</v>
      </c>
      <c r="Z282" s="39">
        <f t="shared" si="171"/>
        <v>-2.473825588822365E-10</v>
      </c>
      <c r="AA282" s="39"/>
    </row>
    <row r="283" spans="4:27" ht="15">
      <c r="D283" s="39" t="s">
        <v>84</v>
      </c>
      <c r="E283" s="39">
        <v>0</v>
      </c>
      <c r="F283" s="39">
        <f>$E$6*E282</f>
        <v>0</v>
      </c>
      <c r="G283" s="39">
        <f>F282*$F$6</f>
        <v>1500</v>
      </c>
      <c r="H283" s="39">
        <f>G282*$G$6</f>
        <v>6000</v>
      </c>
      <c r="I283" s="39">
        <f>H282*$H$6</f>
        <v>10000</v>
      </c>
      <c r="J283" s="39">
        <f>I282*$I$6</f>
        <v>11333.333333333334</v>
      </c>
      <c r="K283" s="39">
        <f>J282*$J$6</f>
        <v>12444.444444444443</v>
      </c>
      <c r="L283" s="39">
        <f>K282*$K$6</f>
        <v>13333.33333333333</v>
      </c>
      <c r="M283" s="39">
        <f>L282*$L$6</f>
        <v>13999.999999999995</v>
      </c>
      <c r="N283" s="39">
        <f>M282*$M$6</f>
        <v>14444.444444444436</v>
      </c>
      <c r="O283" s="39">
        <f>N282*$N$6</f>
        <v>14666.666666666657</v>
      </c>
      <c r="P283" s="39">
        <f>O282*$O$6</f>
        <v>14666.666666666655</v>
      </c>
      <c r="Q283" s="39">
        <f>P282*$P$6</f>
        <v>14444.444444444433</v>
      </c>
      <c r="R283" s="39">
        <f>Q282*$Q$6</f>
        <v>13999.999999999989</v>
      </c>
      <c r="S283" s="39">
        <f>R282*$R$6</f>
        <v>13333.333333333323</v>
      </c>
      <c r="T283" s="39">
        <f>S282*$S$6</f>
        <v>12444.444444444434</v>
      </c>
      <c r="U283" s="39">
        <f>T282*$T$6</f>
        <v>11333.333333333323</v>
      </c>
      <c r="V283" s="39">
        <f>U282*$U$6</f>
        <v>9999.999999999989</v>
      </c>
      <c r="W283" s="39">
        <f>V282*$V$6</f>
        <v>8444.444444444434</v>
      </c>
      <c r="X283" s="39">
        <f>W282*$W$6</f>
        <v>6666.666666666655</v>
      </c>
      <c r="Y283" s="39">
        <f>X282*$X$6</f>
        <v>4666.666666666655</v>
      </c>
      <c r="Z283" s="39">
        <f>Y282*$Y$6</f>
        <v>2444.4444444444316</v>
      </c>
      <c r="AA283" s="39">
        <f>SUM(E283:Z283)</f>
        <v>210166.66666666654</v>
      </c>
    </row>
    <row r="284" spans="4:27" ht="15">
      <c r="D284" s="39" t="s">
        <v>85</v>
      </c>
      <c r="E284" s="39">
        <v>0</v>
      </c>
      <c r="F284" s="39">
        <v>0</v>
      </c>
      <c r="G284" s="39">
        <v>0</v>
      </c>
      <c r="H284" s="39"/>
      <c r="I284" s="39">
        <f>$H282/18</f>
        <v>44444.444444444445</v>
      </c>
      <c r="J284" s="39">
        <f aca="true" t="shared" si="172" ref="J284:Z284">$H282/18</f>
        <v>44444.444444444445</v>
      </c>
      <c r="K284" s="39">
        <f t="shared" si="172"/>
        <v>44444.444444444445</v>
      </c>
      <c r="L284" s="39">
        <f t="shared" si="172"/>
        <v>44444.444444444445</v>
      </c>
      <c r="M284" s="39">
        <f t="shared" si="172"/>
        <v>44444.444444444445</v>
      </c>
      <c r="N284" s="39">
        <f t="shared" si="172"/>
        <v>44444.444444444445</v>
      </c>
      <c r="O284" s="39">
        <f t="shared" si="172"/>
        <v>44444.444444444445</v>
      </c>
      <c r="P284" s="39">
        <f t="shared" si="172"/>
        <v>44444.444444444445</v>
      </c>
      <c r="Q284" s="39">
        <f t="shared" si="172"/>
        <v>44444.444444444445</v>
      </c>
      <c r="R284" s="39">
        <f t="shared" si="172"/>
        <v>44444.444444444445</v>
      </c>
      <c r="S284" s="39">
        <f t="shared" si="172"/>
        <v>44444.444444444445</v>
      </c>
      <c r="T284" s="39">
        <f t="shared" si="172"/>
        <v>44444.444444444445</v>
      </c>
      <c r="U284" s="39">
        <f t="shared" si="172"/>
        <v>44444.444444444445</v>
      </c>
      <c r="V284" s="39">
        <f t="shared" si="172"/>
        <v>44444.444444444445</v>
      </c>
      <c r="W284" s="39">
        <f t="shared" si="172"/>
        <v>44444.444444444445</v>
      </c>
      <c r="X284" s="39">
        <f t="shared" si="172"/>
        <v>44444.444444444445</v>
      </c>
      <c r="Y284" s="39">
        <f t="shared" si="172"/>
        <v>44444.444444444445</v>
      </c>
      <c r="Z284" s="39">
        <f t="shared" si="172"/>
        <v>44444.444444444445</v>
      </c>
      <c r="AA284" s="39">
        <f>SUM(E284:Z284)</f>
        <v>800000.0000000003</v>
      </c>
    </row>
    <row r="285" spans="2:27" ht="15">
      <c r="B285" s="32" t="s">
        <v>87</v>
      </c>
      <c r="C285" s="39">
        <v>1250000</v>
      </c>
      <c r="D285" s="39" t="s">
        <v>86</v>
      </c>
      <c r="E285" s="39">
        <v>0</v>
      </c>
      <c r="F285" s="39">
        <f>F283+F284</f>
        <v>0</v>
      </c>
      <c r="G285" s="39">
        <f aca="true" t="shared" si="173" ref="G285:Z285">G283+G284</f>
        <v>1500</v>
      </c>
      <c r="H285" s="39">
        <f t="shared" si="173"/>
        <v>6000</v>
      </c>
      <c r="I285" s="39">
        <f t="shared" si="173"/>
        <v>54444.444444444445</v>
      </c>
      <c r="J285" s="39">
        <f t="shared" si="173"/>
        <v>55777.77777777778</v>
      </c>
      <c r="K285" s="39">
        <f t="shared" si="173"/>
        <v>56888.88888888889</v>
      </c>
      <c r="L285" s="39">
        <f t="shared" si="173"/>
        <v>57777.777777777774</v>
      </c>
      <c r="M285" s="39">
        <f t="shared" si="173"/>
        <v>58444.44444444444</v>
      </c>
      <c r="N285" s="39">
        <f t="shared" si="173"/>
        <v>58888.88888888888</v>
      </c>
      <c r="O285" s="39">
        <f t="shared" si="173"/>
        <v>59111.1111111111</v>
      </c>
      <c r="P285" s="39">
        <f t="shared" si="173"/>
        <v>59111.1111111111</v>
      </c>
      <c r="Q285" s="39">
        <f t="shared" si="173"/>
        <v>58888.888888888876</v>
      </c>
      <c r="R285" s="39">
        <f t="shared" si="173"/>
        <v>58444.44444444444</v>
      </c>
      <c r="S285" s="39">
        <f t="shared" si="173"/>
        <v>57777.77777777777</v>
      </c>
      <c r="T285" s="39">
        <f t="shared" si="173"/>
        <v>56888.888888888876</v>
      </c>
      <c r="U285" s="39">
        <f t="shared" si="173"/>
        <v>55777.77777777777</v>
      </c>
      <c r="V285" s="39">
        <f t="shared" si="173"/>
        <v>54444.44444444444</v>
      </c>
      <c r="W285" s="39">
        <f t="shared" si="173"/>
        <v>52888.888888888876</v>
      </c>
      <c r="X285" s="39">
        <f t="shared" si="173"/>
        <v>51111.1111111111</v>
      </c>
      <c r="Y285" s="39">
        <f t="shared" si="173"/>
        <v>49111.1111111111</v>
      </c>
      <c r="Z285" s="39">
        <f t="shared" si="173"/>
        <v>46888.888888888876</v>
      </c>
      <c r="AA285" s="40">
        <f>SUM(E285:Z285)</f>
        <v>1010166.6666666665</v>
      </c>
    </row>
    <row r="286" spans="4:27" ht="15">
      <c r="D286" s="39" t="s">
        <v>88</v>
      </c>
      <c r="E286" s="39">
        <v>0</v>
      </c>
      <c r="F286" s="39"/>
      <c r="G286" s="39"/>
      <c r="H286" s="39">
        <f>$C$230*0.65*0.03</f>
        <v>46410</v>
      </c>
      <c r="I286" s="39">
        <f aca="true" t="shared" si="174" ref="I286:Z286">$C$230*0.65*0.03</f>
        <v>46410</v>
      </c>
      <c r="J286" s="39">
        <f t="shared" si="174"/>
        <v>46410</v>
      </c>
      <c r="K286" s="39">
        <f t="shared" si="174"/>
        <v>46410</v>
      </c>
      <c r="L286" s="39">
        <f t="shared" si="174"/>
        <v>46410</v>
      </c>
      <c r="M286" s="39">
        <f t="shared" si="174"/>
        <v>46410</v>
      </c>
      <c r="N286" s="39">
        <f t="shared" si="174"/>
        <v>46410</v>
      </c>
      <c r="O286" s="39">
        <f t="shared" si="174"/>
        <v>46410</v>
      </c>
      <c r="P286" s="39">
        <f t="shared" si="174"/>
        <v>46410</v>
      </c>
      <c r="Q286" s="39">
        <f t="shared" si="174"/>
        <v>46410</v>
      </c>
      <c r="R286" s="39">
        <f t="shared" si="174"/>
        <v>46410</v>
      </c>
      <c r="S286" s="39">
        <f t="shared" si="174"/>
        <v>46410</v>
      </c>
      <c r="T286" s="39">
        <f t="shared" si="174"/>
        <v>46410</v>
      </c>
      <c r="U286" s="39">
        <f t="shared" si="174"/>
        <v>46410</v>
      </c>
      <c r="V286" s="39">
        <f t="shared" si="174"/>
        <v>46410</v>
      </c>
      <c r="W286" s="39">
        <f t="shared" si="174"/>
        <v>46410</v>
      </c>
      <c r="X286" s="39">
        <f t="shared" si="174"/>
        <v>46410</v>
      </c>
      <c r="Y286" s="39">
        <f t="shared" si="174"/>
        <v>46410</v>
      </c>
      <c r="Z286" s="39">
        <f t="shared" si="174"/>
        <v>46410</v>
      </c>
      <c r="AA286" s="40">
        <f>SUM(E286:Z286)</f>
        <v>881790</v>
      </c>
    </row>
    <row r="287" spans="4:27" ht="15">
      <c r="D287" s="40" t="s">
        <v>80</v>
      </c>
      <c r="E287" s="39">
        <v>0</v>
      </c>
      <c r="F287" s="40">
        <f aca="true" t="shared" si="175" ref="F287:Z287">SUM(F285:F286)</f>
        <v>0</v>
      </c>
      <c r="G287" s="40">
        <f t="shared" si="175"/>
        <v>1500</v>
      </c>
      <c r="H287" s="40">
        <f t="shared" si="175"/>
        <v>52410</v>
      </c>
      <c r="I287" s="40">
        <f t="shared" si="175"/>
        <v>100854.44444444444</v>
      </c>
      <c r="J287" s="40">
        <f t="shared" si="175"/>
        <v>102187.77777777778</v>
      </c>
      <c r="K287" s="40">
        <f t="shared" si="175"/>
        <v>103298.88888888889</v>
      </c>
      <c r="L287" s="40">
        <f t="shared" si="175"/>
        <v>104187.77777777778</v>
      </c>
      <c r="M287" s="40">
        <f t="shared" si="175"/>
        <v>104854.44444444444</v>
      </c>
      <c r="N287" s="40">
        <f t="shared" si="175"/>
        <v>105298.88888888888</v>
      </c>
      <c r="O287" s="40">
        <f t="shared" si="175"/>
        <v>105521.1111111111</v>
      </c>
      <c r="P287" s="40">
        <f t="shared" si="175"/>
        <v>105521.1111111111</v>
      </c>
      <c r="Q287" s="40">
        <f t="shared" si="175"/>
        <v>105298.88888888888</v>
      </c>
      <c r="R287" s="40">
        <f t="shared" si="175"/>
        <v>104854.44444444444</v>
      </c>
      <c r="S287" s="40">
        <f t="shared" si="175"/>
        <v>104187.77777777777</v>
      </c>
      <c r="T287" s="40">
        <f t="shared" si="175"/>
        <v>103298.88888888888</v>
      </c>
      <c r="U287" s="40">
        <f t="shared" si="175"/>
        <v>102187.77777777777</v>
      </c>
      <c r="V287" s="40">
        <f t="shared" si="175"/>
        <v>100854.44444444444</v>
      </c>
      <c r="W287" s="40">
        <f t="shared" si="175"/>
        <v>99298.88888888888</v>
      </c>
      <c r="X287" s="40">
        <f t="shared" si="175"/>
        <v>97521.1111111111</v>
      </c>
      <c r="Y287" s="40">
        <f t="shared" si="175"/>
        <v>95521.1111111111</v>
      </c>
      <c r="Z287" s="40">
        <f t="shared" si="175"/>
        <v>93298.88888888888</v>
      </c>
      <c r="AA287" s="40">
        <f>SUM(AA285:AA285)</f>
        <v>1010166.6666666665</v>
      </c>
    </row>
    <row r="289" spans="1:27" ht="15">
      <c r="A289" s="2" t="s">
        <v>34</v>
      </c>
      <c r="B289" s="2" t="s">
        <v>89</v>
      </c>
      <c r="C289" s="24">
        <v>3100000</v>
      </c>
      <c r="D289" s="39" t="s">
        <v>57</v>
      </c>
      <c r="E289" s="39">
        <v>0</v>
      </c>
      <c r="F289" s="39">
        <f>C289/4</f>
        <v>775000</v>
      </c>
      <c r="G289" s="39">
        <f>C289/2</f>
        <v>1550000</v>
      </c>
      <c r="H289" s="39">
        <f>C289/4</f>
        <v>775000</v>
      </c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</row>
    <row r="290" spans="4:27" ht="15">
      <c r="D290" s="39" t="s">
        <v>83</v>
      </c>
      <c r="E290" s="39">
        <v>0</v>
      </c>
      <c r="F290" s="39">
        <f>F289</f>
        <v>775000</v>
      </c>
      <c r="G290" s="39">
        <f>F289+G289</f>
        <v>2325000</v>
      </c>
      <c r="H290" s="39">
        <f>F289+G289+H289</f>
        <v>3100000</v>
      </c>
      <c r="I290" s="39">
        <f aca="true" t="shared" si="176" ref="I290:Z290">H290-$H290/18</f>
        <v>2927777.777777778</v>
      </c>
      <c r="J290" s="39">
        <f t="shared" si="176"/>
        <v>2755555.555555556</v>
      </c>
      <c r="K290" s="39">
        <f t="shared" si="176"/>
        <v>2583333.333333334</v>
      </c>
      <c r="L290" s="39">
        <f t="shared" si="176"/>
        <v>2411111.111111112</v>
      </c>
      <c r="M290" s="39">
        <f t="shared" si="176"/>
        <v>2238888.88888889</v>
      </c>
      <c r="N290" s="39">
        <f t="shared" si="176"/>
        <v>2066666.6666666677</v>
      </c>
      <c r="O290" s="39">
        <f t="shared" si="176"/>
        <v>1894444.4444444454</v>
      </c>
      <c r="P290" s="39">
        <f t="shared" si="176"/>
        <v>1722222.2222222232</v>
      </c>
      <c r="Q290" s="39">
        <f t="shared" si="176"/>
        <v>1550000.000000001</v>
      </c>
      <c r="R290" s="39">
        <f t="shared" si="176"/>
        <v>1377777.7777777787</v>
      </c>
      <c r="S290" s="39">
        <f t="shared" si="176"/>
        <v>1205555.5555555564</v>
      </c>
      <c r="T290" s="39">
        <f t="shared" si="176"/>
        <v>1033333.3333333342</v>
      </c>
      <c r="U290" s="39">
        <f t="shared" si="176"/>
        <v>861111.1111111119</v>
      </c>
      <c r="V290" s="39">
        <f t="shared" si="176"/>
        <v>688888.8888888897</v>
      </c>
      <c r="W290" s="39">
        <f t="shared" si="176"/>
        <v>516666.66666666744</v>
      </c>
      <c r="X290" s="39">
        <f t="shared" si="176"/>
        <v>344444.4444444452</v>
      </c>
      <c r="Y290" s="39">
        <f t="shared" si="176"/>
        <v>172222.22222222298</v>
      </c>
      <c r="Z290" s="39">
        <f t="shared" si="176"/>
        <v>7.566995918750763E-10</v>
      </c>
      <c r="AA290" s="39"/>
    </row>
    <row r="291" spans="4:27" ht="15">
      <c r="D291" s="39" t="s">
        <v>84</v>
      </c>
      <c r="E291" s="39">
        <v>0</v>
      </c>
      <c r="F291" s="39">
        <f>$E$6*E290</f>
        <v>0</v>
      </c>
      <c r="G291" s="39">
        <f>F290*$F$6</f>
        <v>5812.5</v>
      </c>
      <c r="H291" s="39">
        <f>G290*$G$6</f>
        <v>23250</v>
      </c>
      <c r="I291" s="39">
        <f>H290*$H$6</f>
        <v>38750</v>
      </c>
      <c r="J291" s="39">
        <f>I290*$I$6</f>
        <v>43916.66666666667</v>
      </c>
      <c r="K291" s="39">
        <f>J290*$J$6</f>
        <v>48222.22222222223</v>
      </c>
      <c r="L291" s="39">
        <f>K290*$K$6</f>
        <v>51666.66666666668</v>
      </c>
      <c r="M291" s="39">
        <f>L290*$L$6</f>
        <v>54250.000000000015</v>
      </c>
      <c r="N291" s="39">
        <f>M290*$M$6</f>
        <v>55972.22222222224</v>
      </c>
      <c r="O291" s="39">
        <f>N290*$N$6</f>
        <v>56833.33333333336</v>
      </c>
      <c r="P291" s="39">
        <f>O290*$O$6</f>
        <v>56833.33333333336</v>
      </c>
      <c r="Q291" s="39">
        <f>P290*$P$6</f>
        <v>55972.22222222224</v>
      </c>
      <c r="R291" s="39">
        <f>Q290*$Q$6</f>
        <v>54250.00000000003</v>
      </c>
      <c r="S291" s="39">
        <f>R290*$R$6</f>
        <v>51666.6666666667</v>
      </c>
      <c r="T291" s="39">
        <f>S290*$S$6</f>
        <v>48222.222222222255</v>
      </c>
      <c r="U291" s="39">
        <f>T290*$T$6</f>
        <v>43916.66666666671</v>
      </c>
      <c r="V291" s="39">
        <f>U290*$U$6</f>
        <v>38750.000000000044</v>
      </c>
      <c r="W291" s="39">
        <f>V290*$V$6</f>
        <v>32722.222222222266</v>
      </c>
      <c r="X291" s="39">
        <f>W290*$W$6</f>
        <v>25833.333333333376</v>
      </c>
      <c r="Y291" s="39">
        <f>X290*$X$6</f>
        <v>18083.333333333376</v>
      </c>
      <c r="Z291" s="39">
        <f>Y290*$Y$6</f>
        <v>9472.222222222266</v>
      </c>
      <c r="AA291" s="39">
        <f>SUM(E291:Z291)</f>
        <v>814395.8333333338</v>
      </c>
    </row>
    <row r="292" spans="4:27" ht="15">
      <c r="D292" s="39" t="s">
        <v>85</v>
      </c>
      <c r="E292" s="39">
        <v>0</v>
      </c>
      <c r="F292" s="39">
        <v>0</v>
      </c>
      <c r="G292" s="39">
        <v>0</v>
      </c>
      <c r="H292" s="39"/>
      <c r="I292" s="39">
        <f>$H290/18</f>
        <v>172222.22222222222</v>
      </c>
      <c r="J292" s="39">
        <f aca="true" t="shared" si="177" ref="J292:Z292">$H290/18</f>
        <v>172222.22222222222</v>
      </c>
      <c r="K292" s="39">
        <f t="shared" si="177"/>
        <v>172222.22222222222</v>
      </c>
      <c r="L292" s="39">
        <f t="shared" si="177"/>
        <v>172222.22222222222</v>
      </c>
      <c r="M292" s="39">
        <f t="shared" si="177"/>
        <v>172222.22222222222</v>
      </c>
      <c r="N292" s="39">
        <f t="shared" si="177"/>
        <v>172222.22222222222</v>
      </c>
      <c r="O292" s="39">
        <f t="shared" si="177"/>
        <v>172222.22222222222</v>
      </c>
      <c r="P292" s="39">
        <f t="shared" si="177"/>
        <v>172222.22222222222</v>
      </c>
      <c r="Q292" s="39">
        <f t="shared" si="177"/>
        <v>172222.22222222222</v>
      </c>
      <c r="R292" s="39">
        <f t="shared" si="177"/>
        <v>172222.22222222222</v>
      </c>
      <c r="S292" s="39">
        <f t="shared" si="177"/>
        <v>172222.22222222222</v>
      </c>
      <c r="T292" s="39">
        <f t="shared" si="177"/>
        <v>172222.22222222222</v>
      </c>
      <c r="U292" s="39">
        <f t="shared" si="177"/>
        <v>172222.22222222222</v>
      </c>
      <c r="V292" s="39">
        <f t="shared" si="177"/>
        <v>172222.22222222222</v>
      </c>
      <c r="W292" s="39">
        <f t="shared" si="177"/>
        <v>172222.22222222222</v>
      </c>
      <c r="X292" s="39">
        <f t="shared" si="177"/>
        <v>172222.22222222222</v>
      </c>
      <c r="Y292" s="39">
        <f t="shared" si="177"/>
        <v>172222.22222222222</v>
      </c>
      <c r="Z292" s="39">
        <f t="shared" si="177"/>
        <v>172222.22222222222</v>
      </c>
      <c r="AA292" s="39">
        <f>SUM(E292:Z292)</f>
        <v>3099999.999999999</v>
      </c>
    </row>
    <row r="293" spans="2:27" ht="15">
      <c r="B293" s="32" t="s">
        <v>87</v>
      </c>
      <c r="C293" s="39">
        <v>4870000</v>
      </c>
      <c r="D293" s="39" t="s">
        <v>86</v>
      </c>
      <c r="E293" s="39">
        <v>0</v>
      </c>
      <c r="F293" s="39">
        <f>F291+F292</f>
        <v>0</v>
      </c>
      <c r="G293" s="39">
        <f aca="true" t="shared" si="178" ref="G293:Z293">G291+G292</f>
        <v>5812.5</v>
      </c>
      <c r="H293" s="39">
        <f t="shared" si="178"/>
        <v>23250</v>
      </c>
      <c r="I293" s="39">
        <f t="shared" si="178"/>
        <v>210972.22222222222</v>
      </c>
      <c r="J293" s="39">
        <f t="shared" si="178"/>
        <v>216138.88888888888</v>
      </c>
      <c r="K293" s="39">
        <f t="shared" si="178"/>
        <v>220444.44444444444</v>
      </c>
      <c r="L293" s="39">
        <f t="shared" si="178"/>
        <v>223888.8888888889</v>
      </c>
      <c r="M293" s="39">
        <f t="shared" si="178"/>
        <v>226472.22222222225</v>
      </c>
      <c r="N293" s="39">
        <f t="shared" si="178"/>
        <v>228194.44444444447</v>
      </c>
      <c r="O293" s="39">
        <f t="shared" si="178"/>
        <v>229055.55555555556</v>
      </c>
      <c r="P293" s="39">
        <f t="shared" si="178"/>
        <v>229055.55555555556</v>
      </c>
      <c r="Q293" s="39">
        <f t="shared" si="178"/>
        <v>228194.44444444447</v>
      </c>
      <c r="R293" s="39">
        <f t="shared" si="178"/>
        <v>226472.22222222225</v>
      </c>
      <c r="S293" s="39">
        <f t="shared" si="178"/>
        <v>223888.88888888893</v>
      </c>
      <c r="T293" s="39">
        <f t="shared" si="178"/>
        <v>220444.44444444447</v>
      </c>
      <c r="U293" s="39">
        <f t="shared" si="178"/>
        <v>216138.88888888893</v>
      </c>
      <c r="V293" s="39">
        <f t="shared" si="178"/>
        <v>210972.22222222225</v>
      </c>
      <c r="W293" s="39">
        <f t="shared" si="178"/>
        <v>204944.4444444445</v>
      </c>
      <c r="X293" s="39">
        <f t="shared" si="178"/>
        <v>198055.5555555556</v>
      </c>
      <c r="Y293" s="39">
        <f t="shared" si="178"/>
        <v>190305.5555555556</v>
      </c>
      <c r="Z293" s="39">
        <f t="shared" si="178"/>
        <v>181694.4444444445</v>
      </c>
      <c r="AA293" s="40">
        <f>SUM(E293:Z293)</f>
        <v>3914395.833333334</v>
      </c>
    </row>
    <row r="294" spans="4:27" ht="15">
      <c r="D294" s="39" t="s">
        <v>88</v>
      </c>
      <c r="E294" s="39">
        <v>0</v>
      </c>
      <c r="F294" s="39"/>
      <c r="G294" s="39"/>
      <c r="H294" s="39">
        <f>$C$230*0.65*0.03</f>
        <v>46410</v>
      </c>
      <c r="I294" s="39">
        <f aca="true" t="shared" si="179" ref="I294:Z294">$C$230*0.65*0.03</f>
        <v>46410</v>
      </c>
      <c r="J294" s="39">
        <f t="shared" si="179"/>
        <v>46410</v>
      </c>
      <c r="K294" s="39">
        <f t="shared" si="179"/>
        <v>46410</v>
      </c>
      <c r="L294" s="39">
        <f t="shared" si="179"/>
        <v>46410</v>
      </c>
      <c r="M294" s="39">
        <f t="shared" si="179"/>
        <v>46410</v>
      </c>
      <c r="N294" s="39">
        <f t="shared" si="179"/>
        <v>46410</v>
      </c>
      <c r="O294" s="39">
        <f t="shared" si="179"/>
        <v>46410</v>
      </c>
      <c r="P294" s="39">
        <f t="shared" si="179"/>
        <v>46410</v>
      </c>
      <c r="Q294" s="39">
        <f t="shared" si="179"/>
        <v>46410</v>
      </c>
      <c r="R294" s="39">
        <f t="shared" si="179"/>
        <v>46410</v>
      </c>
      <c r="S294" s="39">
        <f t="shared" si="179"/>
        <v>46410</v>
      </c>
      <c r="T294" s="39">
        <f t="shared" si="179"/>
        <v>46410</v>
      </c>
      <c r="U294" s="39">
        <f t="shared" si="179"/>
        <v>46410</v>
      </c>
      <c r="V294" s="39">
        <f t="shared" si="179"/>
        <v>46410</v>
      </c>
      <c r="W294" s="39">
        <f t="shared" si="179"/>
        <v>46410</v>
      </c>
      <c r="X294" s="39">
        <f t="shared" si="179"/>
        <v>46410</v>
      </c>
      <c r="Y294" s="39">
        <f t="shared" si="179"/>
        <v>46410</v>
      </c>
      <c r="Z294" s="39">
        <f t="shared" si="179"/>
        <v>46410</v>
      </c>
      <c r="AA294" s="40">
        <f>SUM(E294:Z294)</f>
        <v>881790</v>
      </c>
    </row>
    <row r="295" spans="4:27" ht="15">
      <c r="D295" s="40" t="s">
        <v>80</v>
      </c>
      <c r="E295" s="39">
        <v>0</v>
      </c>
      <c r="F295" s="40">
        <f aca="true" t="shared" si="180" ref="F295:Z295">SUM(F293:F294)</f>
        <v>0</v>
      </c>
      <c r="G295" s="40">
        <f t="shared" si="180"/>
        <v>5812.5</v>
      </c>
      <c r="H295" s="40">
        <f t="shared" si="180"/>
        <v>69660</v>
      </c>
      <c r="I295" s="40">
        <f t="shared" si="180"/>
        <v>257382.22222222222</v>
      </c>
      <c r="J295" s="40">
        <f t="shared" si="180"/>
        <v>262548.8888888889</v>
      </c>
      <c r="K295" s="40">
        <f t="shared" si="180"/>
        <v>266854.44444444444</v>
      </c>
      <c r="L295" s="40">
        <f t="shared" si="180"/>
        <v>270298.8888888889</v>
      </c>
      <c r="M295" s="40">
        <f t="shared" si="180"/>
        <v>272882.22222222225</v>
      </c>
      <c r="N295" s="40">
        <f t="shared" si="180"/>
        <v>274604.4444444445</v>
      </c>
      <c r="O295" s="40">
        <f t="shared" si="180"/>
        <v>275465.55555555556</v>
      </c>
      <c r="P295" s="40">
        <f t="shared" si="180"/>
        <v>275465.55555555556</v>
      </c>
      <c r="Q295" s="40">
        <f t="shared" si="180"/>
        <v>274604.4444444445</v>
      </c>
      <c r="R295" s="40">
        <f t="shared" si="180"/>
        <v>272882.22222222225</v>
      </c>
      <c r="S295" s="40">
        <f t="shared" si="180"/>
        <v>270298.88888888893</v>
      </c>
      <c r="T295" s="40">
        <f t="shared" si="180"/>
        <v>266854.4444444445</v>
      </c>
      <c r="U295" s="40">
        <f t="shared" si="180"/>
        <v>262548.88888888893</v>
      </c>
      <c r="V295" s="40">
        <f t="shared" si="180"/>
        <v>257382.22222222225</v>
      </c>
      <c r="W295" s="40">
        <f t="shared" si="180"/>
        <v>251354.4444444445</v>
      </c>
      <c r="X295" s="40">
        <f t="shared" si="180"/>
        <v>244465.5555555556</v>
      </c>
      <c r="Y295" s="40">
        <f t="shared" si="180"/>
        <v>236715.5555555556</v>
      </c>
      <c r="Z295" s="40">
        <f t="shared" si="180"/>
        <v>228104.4444444445</v>
      </c>
      <c r="AA295" s="40">
        <f>SUM(AA293:AA293)</f>
        <v>3914395.833333334</v>
      </c>
    </row>
    <row r="297" spans="1:27" ht="15">
      <c r="A297" s="2" t="s">
        <v>34</v>
      </c>
      <c r="B297" s="2" t="s">
        <v>143</v>
      </c>
      <c r="C297" s="24">
        <v>1650000</v>
      </c>
      <c r="D297" s="39" t="s">
        <v>57</v>
      </c>
      <c r="E297" s="39">
        <v>0</v>
      </c>
      <c r="F297" s="39">
        <f>C297/4</f>
        <v>412500</v>
      </c>
      <c r="G297" s="39">
        <f>C297/2</f>
        <v>825000</v>
      </c>
      <c r="H297" s="39">
        <f>C297/4</f>
        <v>412500</v>
      </c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</row>
    <row r="298" spans="4:27" ht="15">
      <c r="D298" s="39" t="s">
        <v>83</v>
      </c>
      <c r="E298" s="39">
        <v>0</v>
      </c>
      <c r="F298" s="39">
        <f>F297</f>
        <v>412500</v>
      </c>
      <c r="G298" s="39">
        <f>F297+G297</f>
        <v>1237500</v>
      </c>
      <c r="H298" s="39">
        <f>F297+G297+H297</f>
        <v>1650000</v>
      </c>
      <c r="I298" s="39">
        <f aca="true" t="shared" si="181" ref="I298:Z298">H298-$H298/18</f>
        <v>1558333.3333333333</v>
      </c>
      <c r="J298" s="39">
        <f t="shared" si="181"/>
        <v>1466666.6666666665</v>
      </c>
      <c r="K298" s="39">
        <f t="shared" si="181"/>
        <v>1374999.9999999998</v>
      </c>
      <c r="L298" s="39">
        <f t="shared" si="181"/>
        <v>1283333.333333333</v>
      </c>
      <c r="M298" s="39">
        <f t="shared" si="181"/>
        <v>1191666.6666666663</v>
      </c>
      <c r="N298" s="39">
        <f t="shared" si="181"/>
        <v>1099999.9999999995</v>
      </c>
      <c r="O298" s="39">
        <f t="shared" si="181"/>
        <v>1008333.3333333329</v>
      </c>
      <c r="P298" s="39">
        <f t="shared" si="181"/>
        <v>916666.6666666663</v>
      </c>
      <c r="Q298" s="39">
        <f t="shared" si="181"/>
        <v>824999.9999999997</v>
      </c>
      <c r="R298" s="39">
        <f t="shared" si="181"/>
        <v>733333.333333333</v>
      </c>
      <c r="S298" s="39">
        <f t="shared" si="181"/>
        <v>641666.6666666664</v>
      </c>
      <c r="T298" s="39">
        <f t="shared" si="181"/>
        <v>549999.9999999998</v>
      </c>
      <c r="U298" s="39">
        <f t="shared" si="181"/>
        <v>458333.3333333331</v>
      </c>
      <c r="V298" s="39">
        <f t="shared" si="181"/>
        <v>366666.6666666664</v>
      </c>
      <c r="W298" s="39">
        <f t="shared" si="181"/>
        <v>274999.9999999997</v>
      </c>
      <c r="X298" s="39">
        <f t="shared" si="181"/>
        <v>183333.33333333302</v>
      </c>
      <c r="Y298" s="39">
        <f t="shared" si="181"/>
        <v>91666.66666666635</v>
      </c>
      <c r="Z298" s="39">
        <f t="shared" si="181"/>
        <v>-3.2014213502407074E-10</v>
      </c>
      <c r="AA298" s="39"/>
    </row>
    <row r="299" spans="4:27" ht="15">
      <c r="D299" s="39" t="s">
        <v>84</v>
      </c>
      <c r="E299" s="39">
        <v>0</v>
      </c>
      <c r="F299" s="39">
        <f>$E$6*E298</f>
        <v>0</v>
      </c>
      <c r="G299" s="39">
        <f>F298*$F$6</f>
        <v>3093.75</v>
      </c>
      <c r="H299" s="39">
        <f>G298*$G$6</f>
        <v>12375</v>
      </c>
      <c r="I299" s="39">
        <f>H298*$H$6</f>
        <v>20625</v>
      </c>
      <c r="J299" s="39">
        <f>I298*$I$6</f>
        <v>23375</v>
      </c>
      <c r="K299" s="39">
        <f>J298*$J$6</f>
        <v>25666.666666666668</v>
      </c>
      <c r="L299" s="39">
        <f>K298*$K$6</f>
        <v>27499.999999999996</v>
      </c>
      <c r="M299" s="39">
        <f>L298*$L$6</f>
        <v>28874.999999999993</v>
      </c>
      <c r="N299" s="39">
        <f>M298*$M$6</f>
        <v>29791.666666666653</v>
      </c>
      <c r="O299" s="39">
        <f>N298*$N$6</f>
        <v>30249.99999999998</v>
      </c>
      <c r="P299" s="39">
        <f>O298*$O$6</f>
        <v>30249.99999999998</v>
      </c>
      <c r="Q299" s="39">
        <f>P298*$P$6</f>
        <v>29791.66666666665</v>
      </c>
      <c r="R299" s="39">
        <f>Q298*$Q$6</f>
        <v>28874.999999999985</v>
      </c>
      <c r="S299" s="39">
        <f>R298*$R$6</f>
        <v>27499.99999999999</v>
      </c>
      <c r="T299" s="39">
        <f>S298*$S$6</f>
        <v>25666.666666666657</v>
      </c>
      <c r="U299" s="39">
        <f>T298*$T$6</f>
        <v>23374.999999999993</v>
      </c>
      <c r="V299" s="39">
        <f>U298*$U$6</f>
        <v>20624.999999999993</v>
      </c>
      <c r="W299" s="39">
        <f>V298*$V$6</f>
        <v>17416.666666666657</v>
      </c>
      <c r="X299" s="39">
        <f>W298*$W$6</f>
        <v>13749.999999999987</v>
      </c>
      <c r="Y299" s="39">
        <f>X298*$X$6</f>
        <v>9624.999999999985</v>
      </c>
      <c r="Z299" s="39">
        <f>Y298*$Y$6</f>
        <v>5041.666666666651</v>
      </c>
      <c r="AA299" s="39">
        <f>SUM(E299:Z299)</f>
        <v>433468.74999999977</v>
      </c>
    </row>
    <row r="300" spans="4:27" ht="15">
      <c r="D300" s="39" t="s">
        <v>85</v>
      </c>
      <c r="E300" s="39">
        <v>0</v>
      </c>
      <c r="F300" s="39">
        <v>0</v>
      </c>
      <c r="G300" s="39">
        <v>0</v>
      </c>
      <c r="H300" s="39"/>
      <c r="I300" s="39">
        <f>$H298/18</f>
        <v>91666.66666666667</v>
      </c>
      <c r="J300" s="39">
        <f aca="true" t="shared" si="182" ref="J300:Z300">$H298/18</f>
        <v>91666.66666666667</v>
      </c>
      <c r="K300" s="39">
        <f t="shared" si="182"/>
        <v>91666.66666666667</v>
      </c>
      <c r="L300" s="39">
        <f t="shared" si="182"/>
        <v>91666.66666666667</v>
      </c>
      <c r="M300" s="39">
        <f t="shared" si="182"/>
        <v>91666.66666666667</v>
      </c>
      <c r="N300" s="39">
        <f t="shared" si="182"/>
        <v>91666.66666666667</v>
      </c>
      <c r="O300" s="39">
        <f t="shared" si="182"/>
        <v>91666.66666666667</v>
      </c>
      <c r="P300" s="39">
        <f t="shared" si="182"/>
        <v>91666.66666666667</v>
      </c>
      <c r="Q300" s="39">
        <f t="shared" si="182"/>
        <v>91666.66666666667</v>
      </c>
      <c r="R300" s="39">
        <f t="shared" si="182"/>
        <v>91666.66666666667</v>
      </c>
      <c r="S300" s="39">
        <f t="shared" si="182"/>
        <v>91666.66666666667</v>
      </c>
      <c r="T300" s="39">
        <f t="shared" si="182"/>
        <v>91666.66666666667</v>
      </c>
      <c r="U300" s="39">
        <f t="shared" si="182"/>
        <v>91666.66666666667</v>
      </c>
      <c r="V300" s="39">
        <f t="shared" si="182"/>
        <v>91666.66666666667</v>
      </c>
      <c r="W300" s="39">
        <f t="shared" si="182"/>
        <v>91666.66666666667</v>
      </c>
      <c r="X300" s="39">
        <f t="shared" si="182"/>
        <v>91666.66666666667</v>
      </c>
      <c r="Y300" s="39">
        <f t="shared" si="182"/>
        <v>91666.66666666667</v>
      </c>
      <c r="Z300" s="39">
        <f t="shared" si="182"/>
        <v>91666.66666666667</v>
      </c>
      <c r="AA300" s="39">
        <f>SUM(E300:Z300)</f>
        <v>1650000.0000000002</v>
      </c>
    </row>
    <row r="301" spans="2:27" ht="15">
      <c r="B301" s="32" t="s">
        <v>87</v>
      </c>
      <c r="C301" s="39">
        <v>2530000</v>
      </c>
      <c r="D301" s="39" t="s">
        <v>86</v>
      </c>
      <c r="E301" s="39">
        <v>0</v>
      </c>
      <c r="F301" s="39">
        <f>F299+F300</f>
        <v>0</v>
      </c>
      <c r="G301" s="39">
        <f aca="true" t="shared" si="183" ref="G301:Z301">G299+G300</f>
        <v>3093.75</v>
      </c>
      <c r="H301" s="39">
        <f t="shared" si="183"/>
        <v>12375</v>
      </c>
      <c r="I301" s="39">
        <f t="shared" si="183"/>
        <v>112291.66666666667</v>
      </c>
      <c r="J301" s="39">
        <f t="shared" si="183"/>
        <v>115041.66666666667</v>
      </c>
      <c r="K301" s="39">
        <f t="shared" si="183"/>
        <v>117333.33333333334</v>
      </c>
      <c r="L301" s="39">
        <f t="shared" si="183"/>
        <v>119166.66666666667</v>
      </c>
      <c r="M301" s="39">
        <f t="shared" si="183"/>
        <v>120541.66666666666</v>
      </c>
      <c r="N301" s="39">
        <f t="shared" si="183"/>
        <v>121458.33333333333</v>
      </c>
      <c r="O301" s="39">
        <f t="shared" si="183"/>
        <v>121916.66666666666</v>
      </c>
      <c r="P301" s="39">
        <f t="shared" si="183"/>
        <v>121916.66666666666</v>
      </c>
      <c r="Q301" s="39">
        <f t="shared" si="183"/>
        <v>121458.33333333331</v>
      </c>
      <c r="R301" s="39">
        <f t="shared" si="183"/>
        <v>120541.66666666666</v>
      </c>
      <c r="S301" s="39">
        <f t="shared" si="183"/>
        <v>119166.66666666666</v>
      </c>
      <c r="T301" s="39">
        <f t="shared" si="183"/>
        <v>117333.33333333333</v>
      </c>
      <c r="U301" s="39">
        <f t="shared" si="183"/>
        <v>115041.66666666666</v>
      </c>
      <c r="V301" s="39">
        <f t="shared" si="183"/>
        <v>112291.66666666666</v>
      </c>
      <c r="W301" s="39">
        <f t="shared" si="183"/>
        <v>109083.33333333333</v>
      </c>
      <c r="X301" s="39">
        <f t="shared" si="183"/>
        <v>105416.66666666666</v>
      </c>
      <c r="Y301" s="39">
        <f t="shared" si="183"/>
        <v>101291.66666666666</v>
      </c>
      <c r="Z301" s="39">
        <f t="shared" si="183"/>
        <v>96708.33333333333</v>
      </c>
      <c r="AA301" s="40">
        <f>SUM(E301:Z301)</f>
        <v>2083468.7500000002</v>
      </c>
    </row>
    <row r="302" spans="4:27" ht="15">
      <c r="D302" s="39" t="s">
        <v>88</v>
      </c>
      <c r="E302" s="39">
        <v>0</v>
      </c>
      <c r="F302" s="39"/>
      <c r="G302" s="39"/>
      <c r="H302" s="39">
        <f>$C$230*0.65*0.03</f>
        <v>46410</v>
      </c>
      <c r="I302" s="39">
        <f aca="true" t="shared" si="184" ref="I302:Z302">$C$230*0.65*0.03</f>
        <v>46410</v>
      </c>
      <c r="J302" s="39">
        <f t="shared" si="184"/>
        <v>46410</v>
      </c>
      <c r="K302" s="39">
        <f t="shared" si="184"/>
        <v>46410</v>
      </c>
      <c r="L302" s="39">
        <f t="shared" si="184"/>
        <v>46410</v>
      </c>
      <c r="M302" s="39">
        <f t="shared" si="184"/>
        <v>46410</v>
      </c>
      <c r="N302" s="39">
        <f t="shared" si="184"/>
        <v>46410</v>
      </c>
      <c r="O302" s="39">
        <f t="shared" si="184"/>
        <v>46410</v>
      </c>
      <c r="P302" s="39">
        <f t="shared" si="184"/>
        <v>46410</v>
      </c>
      <c r="Q302" s="39">
        <f t="shared" si="184"/>
        <v>46410</v>
      </c>
      <c r="R302" s="39">
        <f t="shared" si="184"/>
        <v>46410</v>
      </c>
      <c r="S302" s="39">
        <f t="shared" si="184"/>
        <v>46410</v>
      </c>
      <c r="T302" s="39">
        <f t="shared" si="184"/>
        <v>46410</v>
      </c>
      <c r="U302" s="39">
        <f t="shared" si="184"/>
        <v>46410</v>
      </c>
      <c r="V302" s="39">
        <f t="shared" si="184"/>
        <v>46410</v>
      </c>
      <c r="W302" s="39">
        <f t="shared" si="184"/>
        <v>46410</v>
      </c>
      <c r="X302" s="39">
        <f t="shared" si="184"/>
        <v>46410</v>
      </c>
      <c r="Y302" s="39">
        <f t="shared" si="184"/>
        <v>46410</v>
      </c>
      <c r="Z302" s="39">
        <f t="shared" si="184"/>
        <v>46410</v>
      </c>
      <c r="AA302" s="40">
        <f>SUM(E302:Z302)</f>
        <v>881790</v>
      </c>
    </row>
    <row r="303" spans="4:27" ht="15">
      <c r="D303" s="40" t="s">
        <v>80</v>
      </c>
      <c r="E303" s="39">
        <v>0</v>
      </c>
      <c r="F303" s="40">
        <f aca="true" t="shared" si="185" ref="F303:Z303">SUM(F301:F302)</f>
        <v>0</v>
      </c>
      <c r="G303" s="40">
        <f t="shared" si="185"/>
        <v>3093.75</v>
      </c>
      <c r="H303" s="40">
        <f t="shared" si="185"/>
        <v>58785</v>
      </c>
      <c r="I303" s="40">
        <f t="shared" si="185"/>
        <v>158701.6666666667</v>
      </c>
      <c r="J303" s="40">
        <f t="shared" si="185"/>
        <v>161451.6666666667</v>
      </c>
      <c r="K303" s="40">
        <f t="shared" si="185"/>
        <v>163743.33333333334</v>
      </c>
      <c r="L303" s="40">
        <f t="shared" si="185"/>
        <v>165576.6666666667</v>
      </c>
      <c r="M303" s="40">
        <f t="shared" si="185"/>
        <v>166951.66666666666</v>
      </c>
      <c r="N303" s="40">
        <f t="shared" si="185"/>
        <v>167868.3333333333</v>
      </c>
      <c r="O303" s="40">
        <f t="shared" si="185"/>
        <v>168326.66666666666</v>
      </c>
      <c r="P303" s="40">
        <f t="shared" si="185"/>
        <v>168326.66666666666</v>
      </c>
      <c r="Q303" s="40">
        <f t="shared" si="185"/>
        <v>167868.3333333333</v>
      </c>
      <c r="R303" s="40">
        <f t="shared" si="185"/>
        <v>166951.66666666666</v>
      </c>
      <c r="S303" s="40">
        <f t="shared" si="185"/>
        <v>165576.66666666666</v>
      </c>
      <c r="T303" s="40">
        <f t="shared" si="185"/>
        <v>163743.3333333333</v>
      </c>
      <c r="U303" s="40">
        <f t="shared" si="185"/>
        <v>161451.66666666666</v>
      </c>
      <c r="V303" s="40">
        <f t="shared" si="185"/>
        <v>158701.66666666666</v>
      </c>
      <c r="W303" s="40">
        <f t="shared" si="185"/>
        <v>155493.3333333333</v>
      </c>
      <c r="X303" s="40">
        <f t="shared" si="185"/>
        <v>151826.66666666666</v>
      </c>
      <c r="Y303" s="40">
        <f t="shared" si="185"/>
        <v>147701.66666666666</v>
      </c>
      <c r="Z303" s="40">
        <f t="shared" si="185"/>
        <v>143118.3333333333</v>
      </c>
      <c r="AA303" s="40">
        <f>SUM(AA301:AA301)</f>
        <v>2083468.7500000002</v>
      </c>
    </row>
    <row r="305" spans="1:27" ht="15">
      <c r="A305" s="2" t="s">
        <v>34</v>
      </c>
      <c r="B305" s="2" t="s">
        <v>144</v>
      </c>
      <c r="C305" s="24">
        <v>2850000</v>
      </c>
      <c r="D305" s="39" t="s">
        <v>57</v>
      </c>
      <c r="E305" s="39">
        <v>0</v>
      </c>
      <c r="F305" s="39">
        <f>C305/4</f>
        <v>712500</v>
      </c>
      <c r="G305" s="39">
        <f>C305/2</f>
        <v>1425000</v>
      </c>
      <c r="H305" s="39">
        <f>C305/4</f>
        <v>712500</v>
      </c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</row>
    <row r="306" spans="4:27" ht="15">
      <c r="D306" s="39" t="s">
        <v>83</v>
      </c>
      <c r="E306" s="39">
        <v>0</v>
      </c>
      <c r="F306" s="39">
        <f>F305</f>
        <v>712500</v>
      </c>
      <c r="G306" s="39">
        <f>F305+G305</f>
        <v>2137500</v>
      </c>
      <c r="H306" s="39">
        <f>F305+G305+H305</f>
        <v>2850000</v>
      </c>
      <c r="I306" s="39">
        <f aca="true" t="shared" si="186" ref="I306:Z306">H306-$H306/18</f>
        <v>2691666.6666666665</v>
      </c>
      <c r="J306" s="39">
        <f t="shared" si="186"/>
        <v>2533333.333333333</v>
      </c>
      <c r="K306" s="39">
        <f t="shared" si="186"/>
        <v>2374999.9999999995</v>
      </c>
      <c r="L306" s="39">
        <f t="shared" si="186"/>
        <v>2216666.666666666</v>
      </c>
      <c r="M306" s="39">
        <f t="shared" si="186"/>
        <v>2058333.3333333328</v>
      </c>
      <c r="N306" s="39">
        <f t="shared" si="186"/>
        <v>1899999.9999999995</v>
      </c>
      <c r="O306" s="39">
        <f t="shared" si="186"/>
        <v>1741666.6666666663</v>
      </c>
      <c r="P306" s="39">
        <f t="shared" si="186"/>
        <v>1583333.333333333</v>
      </c>
      <c r="Q306" s="39">
        <f t="shared" si="186"/>
        <v>1424999.9999999998</v>
      </c>
      <c r="R306" s="39">
        <f t="shared" si="186"/>
        <v>1266666.6666666665</v>
      </c>
      <c r="S306" s="39">
        <f t="shared" si="186"/>
        <v>1108333.3333333333</v>
      </c>
      <c r="T306" s="39">
        <f t="shared" si="186"/>
        <v>949999.9999999999</v>
      </c>
      <c r="U306" s="39">
        <f t="shared" si="186"/>
        <v>791666.6666666665</v>
      </c>
      <c r="V306" s="39">
        <f t="shared" si="186"/>
        <v>633333.3333333331</v>
      </c>
      <c r="W306" s="39">
        <f t="shared" si="186"/>
        <v>474999.99999999977</v>
      </c>
      <c r="X306" s="39">
        <f t="shared" si="186"/>
        <v>316666.6666666664</v>
      </c>
      <c r="Y306" s="39">
        <f t="shared" si="186"/>
        <v>158333.33333333305</v>
      </c>
      <c r="Z306" s="39">
        <f t="shared" si="186"/>
        <v>-2.9103830456733704E-10</v>
      </c>
      <c r="AA306" s="39"/>
    </row>
    <row r="307" spans="4:27" ht="15">
      <c r="D307" s="39" t="s">
        <v>84</v>
      </c>
      <c r="E307" s="39">
        <v>0</v>
      </c>
      <c r="F307" s="39">
        <f>$E$6*E306</f>
        <v>0</v>
      </c>
      <c r="G307" s="39">
        <f>F306*$F$6</f>
        <v>5343.75</v>
      </c>
      <c r="H307" s="39">
        <f>G306*$G$6</f>
        <v>21375</v>
      </c>
      <c r="I307" s="39">
        <f>H306*$H$6</f>
        <v>35625</v>
      </c>
      <c r="J307" s="39">
        <f>I306*$I$6</f>
        <v>40375</v>
      </c>
      <c r="K307" s="39">
        <f>J306*$J$6</f>
        <v>44333.33333333333</v>
      </c>
      <c r="L307" s="39">
        <f>K306*$K$6</f>
        <v>47499.99999999999</v>
      </c>
      <c r="M307" s="39">
        <f>L306*$L$6</f>
        <v>49874.999999999985</v>
      </c>
      <c r="N307" s="39">
        <f>M306*$M$6</f>
        <v>51458.333333333314</v>
      </c>
      <c r="O307" s="39">
        <f>N306*$N$6</f>
        <v>52249.99999999998</v>
      </c>
      <c r="P307" s="39">
        <f>O306*$O$6</f>
        <v>52249.99999999998</v>
      </c>
      <c r="Q307" s="39">
        <f>P306*$P$6</f>
        <v>51458.333333333314</v>
      </c>
      <c r="R307" s="39">
        <f>Q306*$Q$6</f>
        <v>49874.999999999985</v>
      </c>
      <c r="S307" s="39">
        <f>R306*$R$6</f>
        <v>47499.99999999999</v>
      </c>
      <c r="T307" s="39">
        <f>S306*$S$6</f>
        <v>44333.33333333333</v>
      </c>
      <c r="U307" s="39">
        <f>T306*$T$6</f>
        <v>40375</v>
      </c>
      <c r="V307" s="39">
        <f>U306*$U$6</f>
        <v>35625</v>
      </c>
      <c r="W307" s="39">
        <f>V306*$V$6</f>
        <v>30083.33333333333</v>
      </c>
      <c r="X307" s="39">
        <f>W306*$W$6</f>
        <v>23749.999999999993</v>
      </c>
      <c r="Y307" s="39">
        <f>X306*$X$6</f>
        <v>16624.99999999999</v>
      </c>
      <c r="Z307" s="39">
        <f>Y306*$Y$6</f>
        <v>8708.33333333332</v>
      </c>
      <c r="AA307" s="39">
        <f>SUM(E307:Z307)</f>
        <v>748718.75</v>
      </c>
    </row>
    <row r="308" spans="4:27" ht="15">
      <c r="D308" s="39" t="s">
        <v>85</v>
      </c>
      <c r="E308" s="39">
        <v>0</v>
      </c>
      <c r="F308" s="39">
        <v>0</v>
      </c>
      <c r="G308" s="39">
        <v>0</v>
      </c>
      <c r="H308" s="39"/>
      <c r="I308" s="39">
        <f>$H306/18</f>
        <v>158333.33333333334</v>
      </c>
      <c r="J308" s="39">
        <f aca="true" t="shared" si="187" ref="J308:Z308">$H306/18</f>
        <v>158333.33333333334</v>
      </c>
      <c r="K308" s="39">
        <f t="shared" si="187"/>
        <v>158333.33333333334</v>
      </c>
      <c r="L308" s="39">
        <f t="shared" si="187"/>
        <v>158333.33333333334</v>
      </c>
      <c r="M308" s="39">
        <f t="shared" si="187"/>
        <v>158333.33333333334</v>
      </c>
      <c r="N308" s="39">
        <f t="shared" si="187"/>
        <v>158333.33333333334</v>
      </c>
      <c r="O308" s="39">
        <f t="shared" si="187"/>
        <v>158333.33333333334</v>
      </c>
      <c r="P308" s="39">
        <f t="shared" si="187"/>
        <v>158333.33333333334</v>
      </c>
      <c r="Q308" s="39">
        <f t="shared" si="187"/>
        <v>158333.33333333334</v>
      </c>
      <c r="R308" s="39">
        <f t="shared" si="187"/>
        <v>158333.33333333334</v>
      </c>
      <c r="S308" s="39">
        <f t="shared" si="187"/>
        <v>158333.33333333334</v>
      </c>
      <c r="T308" s="39">
        <f t="shared" si="187"/>
        <v>158333.33333333334</v>
      </c>
      <c r="U308" s="39">
        <f t="shared" si="187"/>
        <v>158333.33333333334</v>
      </c>
      <c r="V308" s="39">
        <f t="shared" si="187"/>
        <v>158333.33333333334</v>
      </c>
      <c r="W308" s="39">
        <f t="shared" si="187"/>
        <v>158333.33333333334</v>
      </c>
      <c r="X308" s="39">
        <f t="shared" si="187"/>
        <v>158333.33333333334</v>
      </c>
      <c r="Y308" s="39">
        <f t="shared" si="187"/>
        <v>158333.33333333334</v>
      </c>
      <c r="Z308" s="39">
        <f t="shared" si="187"/>
        <v>158333.33333333334</v>
      </c>
      <c r="AA308" s="39">
        <f>SUM(E308:Z308)</f>
        <v>2850000.0000000005</v>
      </c>
    </row>
    <row r="309" spans="2:27" ht="15">
      <c r="B309" s="32" t="s">
        <v>87</v>
      </c>
      <c r="C309" s="39">
        <v>4400000</v>
      </c>
      <c r="D309" s="39" t="s">
        <v>86</v>
      </c>
      <c r="E309" s="39">
        <v>0</v>
      </c>
      <c r="F309" s="39">
        <f>F307+F308</f>
        <v>0</v>
      </c>
      <c r="G309" s="39">
        <f aca="true" t="shared" si="188" ref="G309:Z309">G307+G308</f>
        <v>5343.75</v>
      </c>
      <c r="H309" s="39">
        <f t="shared" si="188"/>
        <v>21375</v>
      </c>
      <c r="I309" s="39">
        <f t="shared" si="188"/>
        <v>193958.33333333334</v>
      </c>
      <c r="J309" s="39">
        <f t="shared" si="188"/>
        <v>198708.33333333334</v>
      </c>
      <c r="K309" s="39">
        <f t="shared" si="188"/>
        <v>202666.6666666667</v>
      </c>
      <c r="L309" s="39">
        <f t="shared" si="188"/>
        <v>205833.33333333334</v>
      </c>
      <c r="M309" s="39">
        <f t="shared" si="188"/>
        <v>208208.3333333333</v>
      </c>
      <c r="N309" s="39">
        <f t="shared" si="188"/>
        <v>209791.66666666666</v>
      </c>
      <c r="O309" s="39">
        <f t="shared" si="188"/>
        <v>210583.3333333333</v>
      </c>
      <c r="P309" s="39">
        <f t="shared" si="188"/>
        <v>210583.3333333333</v>
      </c>
      <c r="Q309" s="39">
        <f t="shared" si="188"/>
        <v>209791.66666666666</v>
      </c>
      <c r="R309" s="39">
        <f t="shared" si="188"/>
        <v>208208.3333333333</v>
      </c>
      <c r="S309" s="39">
        <f t="shared" si="188"/>
        <v>205833.33333333334</v>
      </c>
      <c r="T309" s="39">
        <f t="shared" si="188"/>
        <v>202666.6666666667</v>
      </c>
      <c r="U309" s="39">
        <f t="shared" si="188"/>
        <v>198708.33333333334</v>
      </c>
      <c r="V309" s="39">
        <f t="shared" si="188"/>
        <v>193958.33333333334</v>
      </c>
      <c r="W309" s="39">
        <f t="shared" si="188"/>
        <v>188416.6666666667</v>
      </c>
      <c r="X309" s="39">
        <f t="shared" si="188"/>
        <v>182083.33333333334</v>
      </c>
      <c r="Y309" s="39">
        <f t="shared" si="188"/>
        <v>174958.33333333334</v>
      </c>
      <c r="Z309" s="39">
        <f t="shared" si="188"/>
        <v>167041.66666666666</v>
      </c>
      <c r="AA309" s="40">
        <f>SUM(E309:Z309)</f>
        <v>3598718.75</v>
      </c>
    </row>
    <row r="310" spans="4:27" ht="15">
      <c r="D310" s="39" t="s">
        <v>88</v>
      </c>
      <c r="E310" s="39">
        <v>0</v>
      </c>
      <c r="F310" s="39"/>
      <c r="G310" s="39"/>
      <c r="H310" s="39">
        <f>$C$230*0.65*0.03</f>
        <v>46410</v>
      </c>
      <c r="I310" s="39">
        <f aca="true" t="shared" si="189" ref="I310:Z310">$C$230*0.65*0.03</f>
        <v>46410</v>
      </c>
      <c r="J310" s="39">
        <f t="shared" si="189"/>
        <v>46410</v>
      </c>
      <c r="K310" s="39">
        <f t="shared" si="189"/>
        <v>46410</v>
      </c>
      <c r="L310" s="39">
        <f t="shared" si="189"/>
        <v>46410</v>
      </c>
      <c r="M310" s="39">
        <f t="shared" si="189"/>
        <v>46410</v>
      </c>
      <c r="N310" s="39">
        <f t="shared" si="189"/>
        <v>46410</v>
      </c>
      <c r="O310" s="39">
        <f t="shared" si="189"/>
        <v>46410</v>
      </c>
      <c r="P310" s="39">
        <f t="shared" si="189"/>
        <v>46410</v>
      </c>
      <c r="Q310" s="39">
        <f t="shared" si="189"/>
        <v>46410</v>
      </c>
      <c r="R310" s="39">
        <f t="shared" si="189"/>
        <v>46410</v>
      </c>
      <c r="S310" s="39">
        <f t="shared" si="189"/>
        <v>46410</v>
      </c>
      <c r="T310" s="39">
        <f t="shared" si="189"/>
        <v>46410</v>
      </c>
      <c r="U310" s="39">
        <f t="shared" si="189"/>
        <v>46410</v>
      </c>
      <c r="V310" s="39">
        <f t="shared" si="189"/>
        <v>46410</v>
      </c>
      <c r="W310" s="39">
        <f t="shared" si="189"/>
        <v>46410</v>
      </c>
      <c r="X310" s="39">
        <f t="shared" si="189"/>
        <v>46410</v>
      </c>
      <c r="Y310" s="39">
        <f t="shared" si="189"/>
        <v>46410</v>
      </c>
      <c r="Z310" s="39">
        <f t="shared" si="189"/>
        <v>46410</v>
      </c>
      <c r="AA310" s="40">
        <f>SUM(E310:Z310)</f>
        <v>881790</v>
      </c>
    </row>
    <row r="311" spans="4:27" ht="15">
      <c r="D311" s="40" t="s">
        <v>80</v>
      </c>
      <c r="E311" s="39">
        <v>0</v>
      </c>
      <c r="F311" s="40">
        <f aca="true" t="shared" si="190" ref="F311:Z311">SUM(F309:F310)</f>
        <v>0</v>
      </c>
      <c r="G311" s="40">
        <f t="shared" si="190"/>
        <v>5343.75</v>
      </c>
      <c r="H311" s="40">
        <f t="shared" si="190"/>
        <v>67785</v>
      </c>
      <c r="I311" s="40">
        <f t="shared" si="190"/>
        <v>240368.33333333334</v>
      </c>
      <c r="J311" s="40">
        <f t="shared" si="190"/>
        <v>245118.33333333334</v>
      </c>
      <c r="K311" s="40">
        <f t="shared" si="190"/>
        <v>249076.6666666667</v>
      </c>
      <c r="L311" s="40">
        <f t="shared" si="190"/>
        <v>252243.33333333334</v>
      </c>
      <c r="M311" s="40">
        <f t="shared" si="190"/>
        <v>254618.3333333333</v>
      </c>
      <c r="N311" s="40">
        <f t="shared" si="190"/>
        <v>256201.66666666666</v>
      </c>
      <c r="O311" s="40">
        <f t="shared" si="190"/>
        <v>256993.3333333333</v>
      </c>
      <c r="P311" s="40">
        <f t="shared" si="190"/>
        <v>256993.3333333333</v>
      </c>
      <c r="Q311" s="40">
        <f t="shared" si="190"/>
        <v>256201.66666666666</v>
      </c>
      <c r="R311" s="40">
        <f t="shared" si="190"/>
        <v>254618.3333333333</v>
      </c>
      <c r="S311" s="40">
        <f t="shared" si="190"/>
        <v>252243.33333333334</v>
      </c>
      <c r="T311" s="40">
        <f t="shared" si="190"/>
        <v>249076.6666666667</v>
      </c>
      <c r="U311" s="40">
        <f t="shared" si="190"/>
        <v>245118.33333333334</v>
      </c>
      <c r="V311" s="40">
        <f t="shared" si="190"/>
        <v>240368.33333333334</v>
      </c>
      <c r="W311" s="40">
        <f t="shared" si="190"/>
        <v>234826.6666666667</v>
      </c>
      <c r="X311" s="40">
        <f t="shared" si="190"/>
        <v>228493.33333333334</v>
      </c>
      <c r="Y311" s="40">
        <f t="shared" si="190"/>
        <v>221368.33333333334</v>
      </c>
      <c r="Z311" s="40">
        <f t="shared" si="190"/>
        <v>213451.66666666666</v>
      </c>
      <c r="AA311" s="40">
        <f>SUM(AA309:AA309)</f>
        <v>3598718.75</v>
      </c>
    </row>
    <row r="313" spans="1:27" ht="15">
      <c r="A313" s="2" t="s">
        <v>34</v>
      </c>
      <c r="B313" s="2" t="s">
        <v>145</v>
      </c>
      <c r="C313" s="24">
        <v>1110000</v>
      </c>
      <c r="D313" s="39" t="s">
        <v>57</v>
      </c>
      <c r="E313" s="39">
        <v>0</v>
      </c>
      <c r="F313" s="39">
        <f>C313/4</f>
        <v>277500</v>
      </c>
      <c r="G313" s="39">
        <f>C313/2</f>
        <v>555000</v>
      </c>
      <c r="H313" s="39">
        <f>C313/4</f>
        <v>277500</v>
      </c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</row>
    <row r="314" spans="4:27" ht="15">
      <c r="D314" s="39" t="s">
        <v>83</v>
      </c>
      <c r="E314" s="39">
        <v>0</v>
      </c>
      <c r="F314" s="39">
        <f>F313</f>
        <v>277500</v>
      </c>
      <c r="G314" s="39">
        <f>F313+G313</f>
        <v>832500</v>
      </c>
      <c r="H314" s="39">
        <f>F313+G313+H313</f>
        <v>1110000</v>
      </c>
      <c r="I314" s="39">
        <f aca="true" t="shared" si="191" ref="I314:Z314">H314-$H314/18</f>
        <v>1048333.3333333334</v>
      </c>
      <c r="J314" s="39">
        <f t="shared" si="191"/>
        <v>986666.6666666667</v>
      </c>
      <c r="K314" s="39">
        <f t="shared" si="191"/>
        <v>925000.0000000001</v>
      </c>
      <c r="L314" s="39">
        <f t="shared" si="191"/>
        <v>863333.3333333335</v>
      </c>
      <c r="M314" s="39">
        <f t="shared" si="191"/>
        <v>801666.6666666669</v>
      </c>
      <c r="N314" s="39">
        <f t="shared" si="191"/>
        <v>740000.0000000002</v>
      </c>
      <c r="O314" s="39">
        <f t="shared" si="191"/>
        <v>678333.3333333336</v>
      </c>
      <c r="P314" s="39">
        <f t="shared" si="191"/>
        <v>616666.666666667</v>
      </c>
      <c r="Q314" s="39">
        <f t="shared" si="191"/>
        <v>555000.0000000003</v>
      </c>
      <c r="R314" s="39">
        <f t="shared" si="191"/>
        <v>493333.33333333366</v>
      </c>
      <c r="S314" s="39">
        <f t="shared" si="191"/>
        <v>431666.666666667</v>
      </c>
      <c r="T314" s="39">
        <f t="shared" si="191"/>
        <v>370000.0000000003</v>
      </c>
      <c r="U314" s="39">
        <f t="shared" si="191"/>
        <v>308333.3333333336</v>
      </c>
      <c r="V314" s="39">
        <f t="shared" si="191"/>
        <v>246666.66666666695</v>
      </c>
      <c r="W314" s="39">
        <f t="shared" si="191"/>
        <v>185000.0000000003</v>
      </c>
      <c r="X314" s="39">
        <f t="shared" si="191"/>
        <v>123333.33333333363</v>
      </c>
      <c r="Y314" s="39">
        <f t="shared" si="191"/>
        <v>61666.66666666697</v>
      </c>
      <c r="Z314" s="39">
        <f t="shared" si="191"/>
        <v>3.055902197957039E-10</v>
      </c>
      <c r="AA314" s="39"/>
    </row>
    <row r="315" spans="4:27" ht="15">
      <c r="D315" s="39" t="s">
        <v>84</v>
      </c>
      <c r="E315" s="39">
        <v>0</v>
      </c>
      <c r="F315" s="39">
        <f>$E$6*E314</f>
        <v>0</v>
      </c>
      <c r="G315" s="39">
        <f>F314*$F$6</f>
        <v>2081.25</v>
      </c>
      <c r="H315" s="39">
        <f>G314*$G$6</f>
        <v>8325</v>
      </c>
      <c r="I315" s="39">
        <f>H314*$H$6</f>
        <v>13875</v>
      </c>
      <c r="J315" s="39">
        <f>I314*$I$6</f>
        <v>15725.000000000002</v>
      </c>
      <c r="K315" s="39">
        <f>J314*$J$6</f>
        <v>17266.666666666668</v>
      </c>
      <c r="L315" s="39">
        <f>K314*$K$6</f>
        <v>18500.000000000004</v>
      </c>
      <c r="M315" s="39">
        <f>L314*$L$6</f>
        <v>19425.000000000004</v>
      </c>
      <c r="N315" s="39">
        <f>M314*$M$6</f>
        <v>20041.66666666667</v>
      </c>
      <c r="O315" s="39">
        <f>N314*$N$6</f>
        <v>20350.000000000004</v>
      </c>
      <c r="P315" s="39">
        <f>O314*$O$6</f>
        <v>20350.000000000004</v>
      </c>
      <c r="Q315" s="39">
        <f>P314*$P$6</f>
        <v>20041.66666666667</v>
      </c>
      <c r="R315" s="39">
        <f>Q314*$Q$6</f>
        <v>19425.00000000001</v>
      </c>
      <c r="S315" s="39">
        <f>R314*$R$6</f>
        <v>18500.00000000001</v>
      </c>
      <c r="T315" s="39">
        <f>S314*$S$6</f>
        <v>17266.66666666668</v>
      </c>
      <c r="U315" s="39">
        <f>T314*$T$6</f>
        <v>15725.000000000013</v>
      </c>
      <c r="V315" s="39">
        <f>U314*$U$6</f>
        <v>13875.000000000015</v>
      </c>
      <c r="W315" s="39">
        <f>V314*$V$6</f>
        <v>11716.666666666682</v>
      </c>
      <c r="X315" s="39">
        <f>W314*$W$6</f>
        <v>9250.000000000016</v>
      </c>
      <c r="Y315" s="39">
        <f>X314*$X$6</f>
        <v>6475.000000000017</v>
      </c>
      <c r="Z315" s="39">
        <f>Y314*$Y$6</f>
        <v>3391.6666666666843</v>
      </c>
      <c r="AA315" s="39">
        <f>SUM(E315:Z315)</f>
        <v>291606.25000000006</v>
      </c>
    </row>
    <row r="316" spans="4:27" ht="15">
      <c r="D316" s="39" t="s">
        <v>85</v>
      </c>
      <c r="E316" s="39">
        <v>0</v>
      </c>
      <c r="F316" s="39">
        <v>0</v>
      </c>
      <c r="G316" s="39">
        <v>0</v>
      </c>
      <c r="H316" s="39"/>
      <c r="I316" s="39">
        <f>$H314/18</f>
        <v>61666.666666666664</v>
      </c>
      <c r="J316" s="39">
        <f aca="true" t="shared" si="192" ref="J316:Z316">$H314/18</f>
        <v>61666.666666666664</v>
      </c>
      <c r="K316" s="39">
        <f t="shared" si="192"/>
        <v>61666.666666666664</v>
      </c>
      <c r="L316" s="39">
        <f t="shared" si="192"/>
        <v>61666.666666666664</v>
      </c>
      <c r="M316" s="39">
        <f t="shared" si="192"/>
        <v>61666.666666666664</v>
      </c>
      <c r="N316" s="39">
        <f t="shared" si="192"/>
        <v>61666.666666666664</v>
      </c>
      <c r="O316" s="39">
        <f t="shared" si="192"/>
        <v>61666.666666666664</v>
      </c>
      <c r="P316" s="39">
        <f t="shared" si="192"/>
        <v>61666.666666666664</v>
      </c>
      <c r="Q316" s="39">
        <f t="shared" si="192"/>
        <v>61666.666666666664</v>
      </c>
      <c r="R316" s="39">
        <f t="shared" si="192"/>
        <v>61666.666666666664</v>
      </c>
      <c r="S316" s="39">
        <f t="shared" si="192"/>
        <v>61666.666666666664</v>
      </c>
      <c r="T316" s="39">
        <f t="shared" si="192"/>
        <v>61666.666666666664</v>
      </c>
      <c r="U316" s="39">
        <f t="shared" si="192"/>
        <v>61666.666666666664</v>
      </c>
      <c r="V316" s="39">
        <f t="shared" si="192"/>
        <v>61666.666666666664</v>
      </c>
      <c r="W316" s="39">
        <f t="shared" si="192"/>
        <v>61666.666666666664</v>
      </c>
      <c r="X316" s="39">
        <f t="shared" si="192"/>
        <v>61666.666666666664</v>
      </c>
      <c r="Y316" s="39">
        <f t="shared" si="192"/>
        <v>61666.666666666664</v>
      </c>
      <c r="Z316" s="39">
        <f t="shared" si="192"/>
        <v>61666.666666666664</v>
      </c>
      <c r="AA316" s="39">
        <f>SUM(E316:Z316)</f>
        <v>1109999.9999999998</v>
      </c>
    </row>
    <row r="317" spans="2:27" ht="15">
      <c r="B317" s="32" t="s">
        <v>87</v>
      </c>
      <c r="C317" s="39">
        <v>1760000</v>
      </c>
      <c r="D317" s="39" t="s">
        <v>86</v>
      </c>
      <c r="E317" s="39">
        <v>0</v>
      </c>
      <c r="F317" s="39">
        <f>F315+F316</f>
        <v>0</v>
      </c>
      <c r="G317" s="39">
        <f aca="true" t="shared" si="193" ref="G317:Z317">G315+G316</f>
        <v>2081.25</v>
      </c>
      <c r="H317" s="39">
        <f t="shared" si="193"/>
        <v>8325</v>
      </c>
      <c r="I317" s="39">
        <f t="shared" si="193"/>
        <v>75541.66666666666</v>
      </c>
      <c r="J317" s="39">
        <f t="shared" si="193"/>
        <v>77391.66666666667</v>
      </c>
      <c r="K317" s="39">
        <f t="shared" si="193"/>
        <v>78933.33333333333</v>
      </c>
      <c r="L317" s="39">
        <f t="shared" si="193"/>
        <v>80166.66666666667</v>
      </c>
      <c r="M317" s="39">
        <f t="shared" si="193"/>
        <v>81091.66666666667</v>
      </c>
      <c r="N317" s="39">
        <f t="shared" si="193"/>
        <v>81708.33333333334</v>
      </c>
      <c r="O317" s="39">
        <f t="shared" si="193"/>
        <v>82016.66666666667</v>
      </c>
      <c r="P317" s="39">
        <f t="shared" si="193"/>
        <v>82016.66666666667</v>
      </c>
      <c r="Q317" s="39">
        <f t="shared" si="193"/>
        <v>81708.33333333334</v>
      </c>
      <c r="R317" s="39">
        <f t="shared" si="193"/>
        <v>81091.66666666667</v>
      </c>
      <c r="S317" s="39">
        <f t="shared" si="193"/>
        <v>80166.66666666667</v>
      </c>
      <c r="T317" s="39">
        <f t="shared" si="193"/>
        <v>78933.33333333334</v>
      </c>
      <c r="U317" s="39">
        <f t="shared" si="193"/>
        <v>77391.66666666667</v>
      </c>
      <c r="V317" s="39">
        <f t="shared" si="193"/>
        <v>75541.66666666669</v>
      </c>
      <c r="W317" s="39">
        <f t="shared" si="193"/>
        <v>73383.33333333334</v>
      </c>
      <c r="X317" s="39">
        <f t="shared" si="193"/>
        <v>70916.66666666669</v>
      </c>
      <c r="Y317" s="39">
        <f t="shared" si="193"/>
        <v>68141.66666666669</v>
      </c>
      <c r="Z317" s="39">
        <f t="shared" si="193"/>
        <v>65058.33333333335</v>
      </c>
      <c r="AA317" s="40">
        <f>SUM(E317:Z317)</f>
        <v>1401606.25</v>
      </c>
    </row>
    <row r="318" spans="4:27" ht="15">
      <c r="D318" s="39" t="s">
        <v>88</v>
      </c>
      <c r="E318" s="39">
        <v>0</v>
      </c>
      <c r="F318" s="39"/>
      <c r="G318" s="39"/>
      <c r="H318" s="39">
        <f>$C$230*0.65*0.03</f>
        <v>46410</v>
      </c>
      <c r="I318" s="39">
        <f aca="true" t="shared" si="194" ref="I318:Z318">$C$230*0.65*0.03</f>
        <v>46410</v>
      </c>
      <c r="J318" s="39">
        <f t="shared" si="194"/>
        <v>46410</v>
      </c>
      <c r="K318" s="39">
        <f t="shared" si="194"/>
        <v>46410</v>
      </c>
      <c r="L318" s="39">
        <f t="shared" si="194"/>
        <v>46410</v>
      </c>
      <c r="M318" s="39">
        <f t="shared" si="194"/>
        <v>46410</v>
      </c>
      <c r="N318" s="39">
        <f t="shared" si="194"/>
        <v>46410</v>
      </c>
      <c r="O318" s="39">
        <f t="shared" si="194"/>
        <v>46410</v>
      </c>
      <c r="P318" s="39">
        <f t="shared" si="194"/>
        <v>46410</v>
      </c>
      <c r="Q318" s="39">
        <f t="shared" si="194"/>
        <v>46410</v>
      </c>
      <c r="R318" s="39">
        <f t="shared" si="194"/>
        <v>46410</v>
      </c>
      <c r="S318" s="39">
        <f t="shared" si="194"/>
        <v>46410</v>
      </c>
      <c r="T318" s="39">
        <f t="shared" si="194"/>
        <v>46410</v>
      </c>
      <c r="U318" s="39">
        <f t="shared" si="194"/>
        <v>46410</v>
      </c>
      <c r="V318" s="39">
        <f t="shared" si="194"/>
        <v>46410</v>
      </c>
      <c r="W318" s="39">
        <f t="shared" si="194"/>
        <v>46410</v>
      </c>
      <c r="X318" s="39">
        <f t="shared" si="194"/>
        <v>46410</v>
      </c>
      <c r="Y318" s="39">
        <f t="shared" si="194"/>
        <v>46410</v>
      </c>
      <c r="Z318" s="39">
        <f t="shared" si="194"/>
        <v>46410</v>
      </c>
      <c r="AA318" s="40">
        <f>SUM(E318:Z318)</f>
        <v>881790</v>
      </c>
    </row>
    <row r="319" spans="4:27" ht="15">
      <c r="D319" s="40" t="s">
        <v>80</v>
      </c>
      <c r="E319" s="39">
        <v>0</v>
      </c>
      <c r="F319" s="40">
        <f aca="true" t="shared" si="195" ref="F319:Z319">SUM(F317:F318)</f>
        <v>0</v>
      </c>
      <c r="G319" s="40">
        <f t="shared" si="195"/>
        <v>2081.25</v>
      </c>
      <c r="H319" s="40">
        <f t="shared" si="195"/>
        <v>54735</v>
      </c>
      <c r="I319" s="40">
        <f t="shared" si="195"/>
        <v>121951.66666666666</v>
      </c>
      <c r="J319" s="40">
        <f t="shared" si="195"/>
        <v>123801.66666666667</v>
      </c>
      <c r="K319" s="40">
        <f t="shared" si="195"/>
        <v>125343.33333333333</v>
      </c>
      <c r="L319" s="40">
        <f t="shared" si="195"/>
        <v>126576.66666666667</v>
      </c>
      <c r="M319" s="40">
        <f t="shared" si="195"/>
        <v>127501.66666666667</v>
      </c>
      <c r="N319" s="40">
        <f t="shared" si="195"/>
        <v>128118.33333333334</v>
      </c>
      <c r="O319" s="40">
        <f t="shared" si="195"/>
        <v>128426.66666666667</v>
      </c>
      <c r="P319" s="40">
        <f t="shared" si="195"/>
        <v>128426.66666666667</v>
      </c>
      <c r="Q319" s="40">
        <f t="shared" si="195"/>
        <v>128118.33333333334</v>
      </c>
      <c r="R319" s="40">
        <f t="shared" si="195"/>
        <v>127501.66666666667</v>
      </c>
      <c r="S319" s="40">
        <f t="shared" si="195"/>
        <v>126576.66666666667</v>
      </c>
      <c r="T319" s="40">
        <f t="shared" si="195"/>
        <v>125343.33333333334</v>
      </c>
      <c r="U319" s="40">
        <f t="shared" si="195"/>
        <v>123801.66666666667</v>
      </c>
      <c r="V319" s="40">
        <f t="shared" si="195"/>
        <v>121951.66666666669</v>
      </c>
      <c r="W319" s="40">
        <f t="shared" si="195"/>
        <v>119793.33333333334</v>
      </c>
      <c r="X319" s="40">
        <f t="shared" si="195"/>
        <v>117326.66666666669</v>
      </c>
      <c r="Y319" s="40">
        <f t="shared" si="195"/>
        <v>114551.66666666669</v>
      </c>
      <c r="Z319" s="40">
        <f t="shared" si="195"/>
        <v>111468.33333333334</v>
      </c>
      <c r="AA319" s="40">
        <f>SUM(AA317:AA317)</f>
        <v>1401606.25</v>
      </c>
    </row>
  </sheetData>
  <sheetProtection password="CC50" sheet="1" selectLockedCells="1"/>
  <mergeCells count="3">
    <mergeCell ref="M1:P1"/>
    <mergeCell ref="M3:O3"/>
    <mergeCell ref="D8:AA8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zoomScale="120" zoomScaleNormal="12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8.8515625" defaultRowHeight="15"/>
  <cols>
    <col min="1" max="1" width="2.00390625" style="41" bestFit="1" customWidth="1"/>
    <col min="2" max="2" width="2.7109375" style="41" hidden="1" customWidth="1"/>
    <col min="3" max="3" width="14.8515625" style="41" customWidth="1"/>
    <col min="4" max="4" width="8.8515625" style="41" customWidth="1"/>
    <col min="5" max="6" width="13.7109375" style="41" customWidth="1"/>
    <col min="7" max="7" width="11.7109375" style="41" customWidth="1"/>
    <col min="8" max="8" width="10.421875" style="84" customWidth="1"/>
    <col min="9" max="16384" width="8.8515625" style="41" customWidth="1"/>
  </cols>
  <sheetData>
    <row r="1" spans="1:8" ht="30" customHeight="1">
      <c r="A1" s="343" t="s">
        <v>182</v>
      </c>
      <c r="B1" s="343"/>
      <c r="C1" s="344"/>
      <c r="D1" s="344"/>
      <c r="E1" s="344"/>
      <c r="F1" s="344"/>
      <c r="G1" s="344"/>
      <c r="H1" s="345"/>
    </row>
    <row r="2" spans="3:8" ht="48">
      <c r="C2" s="203" t="s">
        <v>27</v>
      </c>
      <c r="D2" s="204" t="s">
        <v>30</v>
      </c>
      <c r="E2" s="204" t="s">
        <v>118</v>
      </c>
      <c r="F2" s="204" t="s">
        <v>119</v>
      </c>
      <c r="G2" s="204" t="s">
        <v>120</v>
      </c>
      <c r="H2" s="205" t="s">
        <v>149</v>
      </c>
    </row>
    <row r="3" spans="1:9" ht="12">
      <c r="A3" s="41" t="s">
        <v>32</v>
      </c>
      <c r="B3" s="41">
        <f>VLOOKUP(C3,'Input Data'!$C$2:$D$38,2,FALSE)</f>
        <v>3</v>
      </c>
      <c r="C3" s="206" t="s">
        <v>2</v>
      </c>
      <c r="D3" s="201">
        <v>1728</v>
      </c>
      <c r="E3" s="207">
        <v>501698851</v>
      </c>
      <c r="F3" s="207">
        <v>452982639</v>
      </c>
      <c r="G3" s="207">
        <f aca="true" t="shared" si="0" ref="G3:G17">F3/D3</f>
        <v>262142.73090277778</v>
      </c>
      <c r="H3" s="208">
        <v>10.54</v>
      </c>
      <c r="I3" s="84"/>
    </row>
    <row r="4" spans="1:8" ht="12">
      <c r="A4" s="41" t="s">
        <v>32</v>
      </c>
      <c r="B4" s="41">
        <f>VLOOKUP(C4,'Input Data'!$C$2:$D$38,2,FALSE)</f>
        <v>4</v>
      </c>
      <c r="C4" s="206" t="s">
        <v>3</v>
      </c>
      <c r="D4" s="201">
        <v>574</v>
      </c>
      <c r="E4" s="207">
        <v>171719531</v>
      </c>
      <c r="F4" s="207">
        <v>137008670</v>
      </c>
      <c r="G4" s="207">
        <f t="shared" si="0"/>
        <v>238691.06271777002</v>
      </c>
      <c r="H4" s="84">
        <v>16.94</v>
      </c>
    </row>
    <row r="5" spans="1:8" ht="12">
      <c r="A5" s="41" t="s">
        <v>32</v>
      </c>
      <c r="B5" s="41">
        <f>VLOOKUP(C5,'Input Data'!$C$2:$D$38,2,FALSE)</f>
        <v>5</v>
      </c>
      <c r="C5" s="206" t="s">
        <v>4</v>
      </c>
      <c r="D5" s="201">
        <v>681</v>
      </c>
      <c r="E5" s="207">
        <v>136178533</v>
      </c>
      <c r="F5" s="207">
        <v>115713764</v>
      </c>
      <c r="G5" s="207">
        <f t="shared" si="0"/>
        <v>169917.4214390602</v>
      </c>
      <c r="H5" s="84">
        <v>20.2</v>
      </c>
    </row>
    <row r="6" spans="1:8" ht="12">
      <c r="A6" s="41" t="s">
        <v>32</v>
      </c>
      <c r="B6" s="41">
        <f>VLOOKUP(C6,'Input Data'!$C$2:$D$38,2,FALSE)</f>
        <v>6</v>
      </c>
      <c r="C6" s="206" t="s">
        <v>5</v>
      </c>
      <c r="D6" s="201">
        <v>591</v>
      </c>
      <c r="E6" s="207">
        <v>147288330</v>
      </c>
      <c r="F6" s="207">
        <v>140563055</v>
      </c>
      <c r="G6" s="207">
        <f t="shared" si="0"/>
        <v>237839.34856175972</v>
      </c>
      <c r="H6" s="84">
        <v>19.08</v>
      </c>
    </row>
    <row r="7" spans="1:8" ht="12">
      <c r="A7" s="41" t="s">
        <v>32</v>
      </c>
      <c r="B7" s="41">
        <f>VLOOKUP(C7,'Input Data'!$C$2:$D$38,2,FALSE)</f>
        <v>11</v>
      </c>
      <c r="C7" s="206" t="s">
        <v>9</v>
      </c>
      <c r="D7" s="201">
        <v>598</v>
      </c>
      <c r="E7" s="207">
        <v>143224993</v>
      </c>
      <c r="F7" s="207">
        <v>134604866</v>
      </c>
      <c r="G7" s="207">
        <f t="shared" si="0"/>
        <v>225091.7491638796</v>
      </c>
      <c r="H7" s="84">
        <v>15.58</v>
      </c>
    </row>
    <row r="8" spans="1:8" ht="12">
      <c r="A8" s="41" t="s">
        <v>32</v>
      </c>
      <c r="B8" s="41">
        <f>VLOOKUP(C8,'Input Data'!$C$2:$D$38,2,FALSE)</f>
        <v>13</v>
      </c>
      <c r="C8" s="206" t="s">
        <v>10</v>
      </c>
      <c r="D8" s="201">
        <v>670</v>
      </c>
      <c r="E8" s="207">
        <v>90784450</v>
      </c>
      <c r="F8" s="207">
        <v>78806900</v>
      </c>
      <c r="G8" s="207">
        <f t="shared" si="0"/>
        <v>117622.23880597015</v>
      </c>
      <c r="H8" s="84">
        <v>20.99</v>
      </c>
    </row>
    <row r="9" spans="1:8" ht="12">
      <c r="A9" s="41" t="s">
        <v>32</v>
      </c>
      <c r="B9" s="41">
        <f>VLOOKUP(C9,'Input Data'!$C$2:$D$38,2,FALSE)</f>
        <v>19</v>
      </c>
      <c r="C9" s="206" t="s">
        <v>13</v>
      </c>
      <c r="D9" s="201">
        <v>112</v>
      </c>
      <c r="E9" s="207">
        <v>41033392</v>
      </c>
      <c r="F9" s="207">
        <v>32683525</v>
      </c>
      <c r="G9" s="207">
        <f t="shared" si="0"/>
        <v>291817.1875</v>
      </c>
      <c r="H9" s="84">
        <v>8.32</v>
      </c>
    </row>
    <row r="10" spans="1:8" ht="12">
      <c r="A10" s="41" t="s">
        <v>32</v>
      </c>
      <c r="B10" s="41">
        <f>VLOOKUP(C10,'Input Data'!$C$2:$D$38,2,FALSE)</f>
        <v>21</v>
      </c>
      <c r="C10" s="206" t="s">
        <v>15</v>
      </c>
      <c r="D10" s="201">
        <v>465</v>
      </c>
      <c r="E10" s="207">
        <v>105787448</v>
      </c>
      <c r="F10" s="207">
        <v>96903900</v>
      </c>
      <c r="G10" s="207">
        <f t="shared" si="0"/>
        <v>208395.48387096773</v>
      </c>
      <c r="H10" s="84">
        <v>17.93</v>
      </c>
    </row>
    <row r="11" spans="1:8" ht="12">
      <c r="A11" s="41" t="s">
        <v>32</v>
      </c>
      <c r="B11" s="41">
        <f>VLOOKUP(C11,'Input Data'!$C$2:$D$38,2,FALSE)</f>
        <v>23</v>
      </c>
      <c r="C11" s="206" t="s">
        <v>16</v>
      </c>
      <c r="D11" s="201">
        <v>413</v>
      </c>
      <c r="E11" s="207">
        <v>90079602</v>
      </c>
      <c r="F11" s="207">
        <v>79386344</v>
      </c>
      <c r="G11" s="207">
        <f t="shared" si="0"/>
        <v>192218.75060532687</v>
      </c>
      <c r="H11" s="84">
        <v>17.58</v>
      </c>
    </row>
    <row r="12" spans="1:8" ht="12">
      <c r="A12" s="41" t="s">
        <v>32</v>
      </c>
      <c r="B12" s="41">
        <f>VLOOKUP(C12,'Input Data'!$C$2:$D$38,2,FALSE)</f>
        <v>25</v>
      </c>
      <c r="C12" s="206" t="s">
        <v>17</v>
      </c>
      <c r="D12" s="201">
        <v>329</v>
      </c>
      <c r="E12" s="207">
        <v>86080486</v>
      </c>
      <c r="F12" s="207">
        <v>67134336</v>
      </c>
      <c r="G12" s="207">
        <f t="shared" si="0"/>
        <v>204055.73252279634</v>
      </c>
      <c r="H12" s="84">
        <v>19.46</v>
      </c>
    </row>
    <row r="13" spans="1:8" ht="12">
      <c r="A13" s="41" t="s">
        <v>32</v>
      </c>
      <c r="B13" s="41">
        <f>VLOOKUP(C13,'Input Data'!$C$2:$D$38,2,FALSE)</f>
        <v>27</v>
      </c>
      <c r="C13" s="206" t="s">
        <v>18</v>
      </c>
      <c r="D13" s="201">
        <v>227</v>
      </c>
      <c r="E13" s="207">
        <v>295333087</v>
      </c>
      <c r="F13" s="207">
        <v>51414829</v>
      </c>
      <c r="G13" s="207">
        <f t="shared" si="0"/>
        <v>226497.04405286344</v>
      </c>
      <c r="H13" s="84">
        <v>6.19</v>
      </c>
    </row>
    <row r="14" spans="1:8" ht="12">
      <c r="A14" s="41" t="s">
        <v>32</v>
      </c>
      <c r="B14" s="41">
        <f>VLOOKUP(C14,'Input Data'!$C$2:$D$38,2,FALSE)</f>
        <v>30</v>
      </c>
      <c r="C14" s="206" t="s">
        <v>20</v>
      </c>
      <c r="D14" s="201">
        <v>866</v>
      </c>
      <c r="E14" s="207">
        <v>212759920</v>
      </c>
      <c r="F14" s="207">
        <v>206542640</v>
      </c>
      <c r="G14" s="207">
        <f t="shared" si="0"/>
        <v>238501.89376443418</v>
      </c>
      <c r="H14" s="84">
        <v>22.76</v>
      </c>
    </row>
    <row r="15" spans="1:8" ht="12">
      <c r="A15" s="41" t="s">
        <v>32</v>
      </c>
      <c r="B15" s="41">
        <f>VLOOKUP(C15,'Input Data'!$C$2:$D$38,2,FALSE)</f>
        <v>34</v>
      </c>
      <c r="C15" s="206" t="s">
        <v>23</v>
      </c>
      <c r="D15" s="201">
        <v>261</v>
      </c>
      <c r="E15" s="207">
        <v>81311784</v>
      </c>
      <c r="F15" s="207">
        <v>77556959</v>
      </c>
      <c r="G15" s="207">
        <f t="shared" si="0"/>
        <v>297153.09961685824</v>
      </c>
      <c r="H15" s="84">
        <v>14.04</v>
      </c>
    </row>
    <row r="16" spans="1:8" ht="12">
      <c r="A16" s="41" t="s">
        <v>32</v>
      </c>
      <c r="B16" s="41">
        <f>VLOOKUP(C16,'Input Data'!$C$2:$D$38,2,FALSE)</f>
        <v>36</v>
      </c>
      <c r="C16" s="206" t="s">
        <v>25</v>
      </c>
      <c r="D16" s="202">
        <v>491</v>
      </c>
      <c r="E16" s="209">
        <v>104463386</v>
      </c>
      <c r="F16" s="209">
        <v>96504477</v>
      </c>
      <c r="G16" s="209">
        <f t="shared" si="0"/>
        <v>196546.7963340122</v>
      </c>
      <c r="H16" s="213">
        <v>13.58</v>
      </c>
    </row>
    <row r="17" spans="3:8" s="179" customFormat="1" ht="22.5" customHeight="1">
      <c r="C17" s="340" t="s">
        <v>39</v>
      </c>
      <c r="D17" s="332">
        <f>SUM(D3:D16)</f>
        <v>8006</v>
      </c>
      <c r="E17" s="341">
        <f>SUM(E3:E16)</f>
        <v>2207743793</v>
      </c>
      <c r="F17" s="341">
        <f>SUM(F3:F16)</f>
        <v>1767806904</v>
      </c>
      <c r="G17" s="341">
        <f t="shared" si="0"/>
        <v>220810.25530851862</v>
      </c>
      <c r="H17" s="342"/>
    </row>
    <row r="18" spans="1:8" ht="12">
      <c r="A18" s="41" t="s">
        <v>33</v>
      </c>
      <c r="B18" s="41">
        <f>VLOOKUP(C18,'Input Data'!$C$2:$D$38,2,FALSE)</f>
        <v>2</v>
      </c>
      <c r="C18" s="206" t="s">
        <v>1</v>
      </c>
      <c r="D18" s="201">
        <v>877</v>
      </c>
      <c r="E18" s="207">
        <v>240382030</v>
      </c>
      <c r="F18" s="207">
        <v>215351408</v>
      </c>
      <c r="G18" s="207">
        <f aca="true" t="shared" si="1" ref="G18:G25">F18/D18</f>
        <v>245554.62713797035</v>
      </c>
      <c r="H18" s="84">
        <v>16.22</v>
      </c>
    </row>
    <row r="19" spans="1:8" ht="12">
      <c r="A19" s="41" t="s">
        <v>33</v>
      </c>
      <c r="B19" s="41">
        <f>VLOOKUP(C19,'Input Data'!$C$2:$D$38,2,FALSE)</f>
        <v>8</v>
      </c>
      <c r="C19" s="206" t="s">
        <v>7</v>
      </c>
      <c r="D19" s="201">
        <v>485</v>
      </c>
      <c r="E19" s="207">
        <v>127418072</v>
      </c>
      <c r="F19" s="207">
        <v>112201262</v>
      </c>
      <c r="G19" s="207">
        <f t="shared" si="1"/>
        <v>231342.80824742268</v>
      </c>
      <c r="H19" s="84">
        <v>13.98</v>
      </c>
    </row>
    <row r="20" spans="1:8" ht="12">
      <c r="A20" s="41" t="s">
        <v>33</v>
      </c>
      <c r="B20" s="41">
        <f>VLOOKUP(C20,'Input Data'!$C$2:$D$38,2,FALSE)</f>
        <v>14</v>
      </c>
      <c r="C20" s="206" t="s">
        <v>11</v>
      </c>
      <c r="D20" s="201">
        <v>325</v>
      </c>
      <c r="E20" s="207">
        <v>86256406</v>
      </c>
      <c r="F20" s="207">
        <v>81896367</v>
      </c>
      <c r="G20" s="207">
        <f t="shared" si="1"/>
        <v>251988.82153846155</v>
      </c>
      <c r="H20" s="84">
        <v>17.08</v>
      </c>
    </row>
    <row r="21" spans="1:8" ht="12">
      <c r="A21" s="41" t="s">
        <v>33</v>
      </c>
      <c r="B21" s="41">
        <f>VLOOKUP(C21,'Input Data'!$C$2:$D$38,2,FALSE)</f>
        <v>17</v>
      </c>
      <c r="C21" s="206" t="s">
        <v>12</v>
      </c>
      <c r="D21" s="201">
        <v>928</v>
      </c>
      <c r="E21" s="207">
        <v>504245385</v>
      </c>
      <c r="F21" s="207">
        <v>485120813</v>
      </c>
      <c r="G21" s="207">
        <f t="shared" si="1"/>
        <v>522759.4967672414</v>
      </c>
      <c r="H21" s="84">
        <v>7.3</v>
      </c>
    </row>
    <row r="22" spans="1:8" ht="12">
      <c r="A22" s="41" t="s">
        <v>33</v>
      </c>
      <c r="B22" s="41">
        <f>VLOOKUP(C22,'Input Data'!$C$2:$D$38,2,FALSE)</f>
        <v>28</v>
      </c>
      <c r="C22" s="206" t="s">
        <v>19</v>
      </c>
      <c r="D22" s="201">
        <v>671</v>
      </c>
      <c r="E22" s="207">
        <v>216104988</v>
      </c>
      <c r="F22" s="207">
        <v>194335310</v>
      </c>
      <c r="G22" s="207">
        <f t="shared" si="1"/>
        <v>289620.43219076004</v>
      </c>
      <c r="H22" s="84">
        <v>13.29</v>
      </c>
    </row>
    <row r="23" spans="1:8" ht="12">
      <c r="A23" s="41" t="s">
        <v>33</v>
      </c>
      <c r="B23" s="41">
        <f>VLOOKUP(C23,'Input Data'!$C$2:$D$38,2,FALSE)</f>
        <v>35</v>
      </c>
      <c r="C23" s="206" t="s">
        <v>24</v>
      </c>
      <c r="D23" s="201">
        <v>436</v>
      </c>
      <c r="E23" s="207">
        <v>92796248</v>
      </c>
      <c r="F23" s="207">
        <v>75207787</v>
      </c>
      <c r="G23" s="207">
        <f t="shared" si="1"/>
        <v>172494.92431192662</v>
      </c>
      <c r="H23" s="84">
        <v>19.31</v>
      </c>
    </row>
    <row r="24" spans="1:8" ht="12">
      <c r="A24" s="41" t="s">
        <v>33</v>
      </c>
      <c r="B24" s="41">
        <f>VLOOKUP(C24,'Input Data'!$C$2:$D$38,2,FALSE)</f>
        <v>37</v>
      </c>
      <c r="C24" s="206" t="s">
        <v>26</v>
      </c>
      <c r="D24" s="202">
        <v>629</v>
      </c>
      <c r="E24" s="209">
        <v>167121631</v>
      </c>
      <c r="F24" s="209">
        <v>156335165</v>
      </c>
      <c r="G24" s="209">
        <f t="shared" si="1"/>
        <v>248545.57233704292</v>
      </c>
      <c r="H24" s="213">
        <v>16.59</v>
      </c>
    </row>
    <row r="25" spans="3:8" s="179" customFormat="1" ht="22.5" customHeight="1">
      <c r="C25" s="340" t="s">
        <v>39</v>
      </c>
      <c r="D25" s="332">
        <f>SUM(D18:D24)</f>
        <v>4351</v>
      </c>
      <c r="E25" s="341">
        <f>SUM(E18:E24)</f>
        <v>1434324760</v>
      </c>
      <c r="F25" s="341">
        <f>SUM(F18:F24)</f>
        <v>1320448112</v>
      </c>
      <c r="G25" s="341">
        <f t="shared" si="1"/>
        <v>303481.5242472995</v>
      </c>
      <c r="H25" s="342"/>
    </row>
    <row r="26" spans="1:8" ht="12">
      <c r="A26" s="41" t="s">
        <v>34</v>
      </c>
      <c r="B26" s="41">
        <f>VLOOKUP(C26,'Input Data'!$C$2:$D$38,2,FALSE)</f>
        <v>7</v>
      </c>
      <c r="C26" s="206" t="s">
        <v>6</v>
      </c>
      <c r="D26" s="201">
        <v>797</v>
      </c>
      <c r="E26" s="207">
        <v>171319605</v>
      </c>
      <c r="F26" s="207">
        <v>142562760</v>
      </c>
      <c r="G26" s="207">
        <f aca="true" t="shared" si="2" ref="G26:G42">F26/D26</f>
        <v>178874.22835633627</v>
      </c>
      <c r="H26" s="84">
        <v>19.7</v>
      </c>
    </row>
    <row r="27" spans="1:8" ht="12">
      <c r="A27" s="41" t="s">
        <v>34</v>
      </c>
      <c r="B27" s="41">
        <f>VLOOKUP(C27,'Input Data'!$C$2:$D$38,2,FALSE)</f>
        <v>9</v>
      </c>
      <c r="C27" s="206" t="s">
        <v>8</v>
      </c>
      <c r="D27" s="201">
        <v>921</v>
      </c>
      <c r="E27" s="207">
        <v>389849001</v>
      </c>
      <c r="F27" s="207">
        <v>368365644</v>
      </c>
      <c r="G27" s="207">
        <f t="shared" si="2"/>
        <v>399962.6970684039</v>
      </c>
      <c r="H27" s="84">
        <v>9.34</v>
      </c>
    </row>
    <row r="28" spans="1:8" ht="12">
      <c r="A28" s="41" t="s">
        <v>34</v>
      </c>
      <c r="B28" s="41">
        <f>VLOOKUP(C28,'Input Data'!$C$2:$D$38,2,FALSE)</f>
        <v>20</v>
      </c>
      <c r="C28" s="206" t="s">
        <v>14</v>
      </c>
      <c r="D28" s="201">
        <v>1039</v>
      </c>
      <c r="E28" s="207">
        <v>493685410</v>
      </c>
      <c r="F28" s="207">
        <v>466747605</v>
      </c>
      <c r="G28" s="207">
        <f t="shared" si="2"/>
        <v>449227.7237728585</v>
      </c>
      <c r="H28" s="84">
        <v>9.8</v>
      </c>
    </row>
    <row r="29" spans="1:8" ht="12">
      <c r="A29" s="41" t="s">
        <v>34</v>
      </c>
      <c r="B29" s="41">
        <f>VLOOKUP(C29,'Input Data'!$C$2:$D$38,2,FALSE)</f>
        <v>31</v>
      </c>
      <c r="C29" s="206" t="s">
        <v>21</v>
      </c>
      <c r="D29" s="5">
        <v>510</v>
      </c>
      <c r="E29" s="207">
        <v>186279937</v>
      </c>
      <c r="F29" s="207">
        <v>167204679</v>
      </c>
      <c r="G29" s="207">
        <f t="shared" si="2"/>
        <v>327852.31176470587</v>
      </c>
      <c r="H29" s="84">
        <v>8.08</v>
      </c>
    </row>
    <row r="30" spans="1:8" ht="12">
      <c r="A30" s="41" t="s">
        <v>34</v>
      </c>
      <c r="B30" s="41">
        <f>VLOOKUP(C30,'Input Data'!$C$2:$D$38,2,FALSE)</f>
        <v>32</v>
      </c>
      <c r="C30" s="210" t="s">
        <v>90</v>
      </c>
      <c r="D30" s="211">
        <v>311</v>
      </c>
      <c r="E30" s="212">
        <v>192582680</v>
      </c>
      <c r="F30" s="212">
        <v>178026210</v>
      </c>
      <c r="G30" s="207">
        <f>F30/D30</f>
        <v>572431.5434083601</v>
      </c>
      <c r="H30" s="84">
        <v>7</v>
      </c>
    </row>
    <row r="31" spans="1:8" ht="12">
      <c r="A31" s="41" t="s">
        <v>34</v>
      </c>
      <c r="B31" s="41">
        <f>VLOOKUP(C31,'Input Data'!$C$2:$D$38,2,FALSE)</f>
        <v>33</v>
      </c>
      <c r="C31" s="206" t="s">
        <v>22</v>
      </c>
      <c r="D31" s="201">
        <v>426</v>
      </c>
      <c r="E31" s="207">
        <v>74849140</v>
      </c>
      <c r="F31" s="207">
        <v>70081748</v>
      </c>
      <c r="G31" s="207">
        <f t="shared" si="2"/>
        <v>164511.1455399061</v>
      </c>
      <c r="H31" s="84">
        <v>20.11</v>
      </c>
    </row>
    <row r="32" spans="1:8" ht="12">
      <c r="A32" s="41" t="s">
        <v>34</v>
      </c>
      <c r="B32" s="41">
        <f>VLOOKUP(C32,'Input Data'!$C$2:$D$38,2,FALSE)</f>
        <v>1</v>
      </c>
      <c r="C32" s="41" t="s">
        <v>137</v>
      </c>
      <c r="D32" s="201">
        <v>342</v>
      </c>
      <c r="E32" s="207">
        <v>275676945</v>
      </c>
      <c r="F32" s="207">
        <v>269247816</v>
      </c>
      <c r="G32" s="207">
        <f t="shared" si="2"/>
        <v>787274.3157894737</v>
      </c>
      <c r="H32" s="84">
        <v>15.075</v>
      </c>
    </row>
    <row r="33" spans="1:8" ht="12">
      <c r="A33" s="41" t="s">
        <v>34</v>
      </c>
      <c r="B33" s="41">
        <f>VLOOKUP(C33,'Input Data'!$C$2:$D$38,2,FALSE)</f>
        <v>10</v>
      </c>
      <c r="C33" s="41" t="s">
        <v>138</v>
      </c>
      <c r="D33" s="201">
        <v>356</v>
      </c>
      <c r="E33" s="207">
        <v>124926472</v>
      </c>
      <c r="F33" s="207">
        <v>60129246</v>
      </c>
      <c r="G33" s="207">
        <f t="shared" si="2"/>
        <v>168902.3764044944</v>
      </c>
      <c r="H33" s="84">
        <v>9.53</v>
      </c>
    </row>
    <row r="34" spans="1:8" ht="12">
      <c r="A34" s="41" t="s">
        <v>34</v>
      </c>
      <c r="B34" s="41">
        <f>VLOOKUP(C34,'Input Data'!$C$2:$D$38,2,FALSE)</f>
        <v>12</v>
      </c>
      <c r="C34" s="41" t="s">
        <v>139</v>
      </c>
      <c r="D34" s="201">
        <v>198</v>
      </c>
      <c r="E34" s="207">
        <v>51741003</v>
      </c>
      <c r="F34" s="207">
        <v>46551411</v>
      </c>
      <c r="G34" s="207">
        <f t="shared" si="2"/>
        <v>235108.13636363635</v>
      </c>
      <c r="H34" s="84">
        <v>15.5</v>
      </c>
    </row>
    <row r="35" spans="1:8" ht="12">
      <c r="A35" s="41" t="s">
        <v>34</v>
      </c>
      <c r="B35" s="41">
        <f>VLOOKUP(C35,'Input Data'!$C$2:$D$38,2,FALSE)</f>
        <v>15</v>
      </c>
      <c r="C35" s="41" t="s">
        <v>140</v>
      </c>
      <c r="D35" s="201">
        <v>279</v>
      </c>
      <c r="E35" s="207">
        <v>66246667</v>
      </c>
      <c r="F35" s="207">
        <v>60844984</v>
      </c>
      <c r="G35" s="207">
        <f t="shared" si="2"/>
        <v>218082.3799283154</v>
      </c>
      <c r="H35" s="84">
        <v>17.63</v>
      </c>
    </row>
    <row r="36" spans="1:8" ht="12">
      <c r="A36" s="41" t="s">
        <v>34</v>
      </c>
      <c r="B36" s="41">
        <f>VLOOKUP(C36,'Input Data'!$C$2:$D$38,2,FALSE)</f>
        <v>16</v>
      </c>
      <c r="C36" s="41" t="s">
        <v>141</v>
      </c>
      <c r="D36" s="201">
        <v>77</v>
      </c>
      <c r="E36" s="207">
        <v>25848017</v>
      </c>
      <c r="F36" s="207">
        <v>9622394</v>
      </c>
      <c r="G36" s="207">
        <f t="shared" si="2"/>
        <v>124966.15584415584</v>
      </c>
      <c r="H36" s="84">
        <v>11.91</v>
      </c>
    </row>
    <row r="37" spans="1:8" ht="12">
      <c r="A37" s="41" t="s">
        <v>34</v>
      </c>
      <c r="B37" s="41">
        <f>VLOOKUP(C37,'Input Data'!$C$2:$D$38,2,FALSE)</f>
        <v>18</v>
      </c>
      <c r="C37" s="41" t="s">
        <v>142</v>
      </c>
      <c r="D37" s="201">
        <v>148</v>
      </c>
      <c r="E37" s="207">
        <v>85368534</v>
      </c>
      <c r="F37" s="207">
        <v>82871700</v>
      </c>
      <c r="G37" s="207">
        <f t="shared" si="2"/>
        <v>559943.9189189189</v>
      </c>
      <c r="H37" s="84">
        <v>6.23</v>
      </c>
    </row>
    <row r="38" spans="1:8" ht="12">
      <c r="A38" s="41" t="s">
        <v>34</v>
      </c>
      <c r="B38" s="41">
        <f>VLOOKUP(C38,'Input Data'!$C$2:$D$38,2,FALSE)</f>
        <v>22</v>
      </c>
      <c r="C38" s="41" t="s">
        <v>89</v>
      </c>
      <c r="D38" s="201">
        <v>1701</v>
      </c>
      <c r="E38" s="207">
        <v>608853666</v>
      </c>
      <c r="F38" s="207">
        <v>567984585</v>
      </c>
      <c r="G38" s="207">
        <f t="shared" si="2"/>
        <v>333912.16049382713</v>
      </c>
      <c r="H38" s="84">
        <v>8.08</v>
      </c>
    </row>
    <row r="39" spans="1:8" ht="12">
      <c r="A39" s="41" t="s">
        <v>34</v>
      </c>
      <c r="B39" s="41">
        <f>VLOOKUP(C39,'Input Data'!$C$2:$D$38,2,FALSE)</f>
        <v>24</v>
      </c>
      <c r="C39" s="41" t="s">
        <v>143</v>
      </c>
      <c r="D39" s="201">
        <v>546</v>
      </c>
      <c r="E39" s="207">
        <v>149583076</v>
      </c>
      <c r="F39" s="207">
        <v>132883600</v>
      </c>
      <c r="G39" s="207">
        <f t="shared" si="2"/>
        <v>243376.55677655677</v>
      </c>
      <c r="H39" s="84">
        <v>16.19</v>
      </c>
    </row>
    <row r="40" spans="1:8" ht="12">
      <c r="A40" s="41" t="s">
        <v>34</v>
      </c>
      <c r="B40" s="41">
        <f>VLOOKUP(C40,'Input Data'!$C$2:$D$38,2,FALSE)</f>
        <v>26</v>
      </c>
      <c r="C40" s="41" t="s">
        <v>144</v>
      </c>
      <c r="D40" s="201">
        <v>1339</v>
      </c>
      <c r="E40" s="207">
        <v>447571941</v>
      </c>
      <c r="F40" s="207">
        <v>429683301</v>
      </c>
      <c r="G40" s="207">
        <f t="shared" si="2"/>
        <v>320898.6564600448</v>
      </c>
      <c r="H40" s="84">
        <v>17.78</v>
      </c>
    </row>
    <row r="41" spans="1:8" ht="12">
      <c r="A41" s="41" t="s">
        <v>34</v>
      </c>
      <c r="B41" s="41">
        <f>VLOOKUP(C41,'Input Data'!$C$2:$D$38,2,FALSE)</f>
        <v>29</v>
      </c>
      <c r="C41" s="206" t="s">
        <v>145</v>
      </c>
      <c r="D41" s="202">
        <v>357</v>
      </c>
      <c r="E41" s="209">
        <v>66884148</v>
      </c>
      <c r="F41" s="209">
        <v>63493020</v>
      </c>
      <c r="G41" s="209">
        <f t="shared" si="2"/>
        <v>177851.59663865546</v>
      </c>
      <c r="H41" s="213">
        <v>17.07</v>
      </c>
    </row>
    <row r="42" spans="3:8" s="179" customFormat="1" ht="22.5" customHeight="1">
      <c r="C42" s="340" t="s">
        <v>39</v>
      </c>
      <c r="D42" s="332">
        <f>SUM(D26:D41)</f>
        <v>9347</v>
      </c>
      <c r="E42" s="341">
        <f>SUM(E26:E41)</f>
        <v>3411266242</v>
      </c>
      <c r="F42" s="341">
        <f>SUM(F26:F41)</f>
        <v>3116300703</v>
      </c>
      <c r="G42" s="341">
        <f t="shared" si="2"/>
        <v>333401.1664705253</v>
      </c>
      <c r="H42" s="342"/>
    </row>
    <row r="43" spans="4:7" ht="12">
      <c r="D43" s="5">
        <f>D17+D25</f>
        <v>12357</v>
      </c>
      <c r="E43" s="5">
        <f>E17+E25</f>
        <v>3642068553</v>
      </c>
      <c r="F43" s="5">
        <f>F17+F25</f>
        <v>3088255016</v>
      </c>
      <c r="G43" s="5">
        <f>G17+G25</f>
        <v>524291.7795558181</v>
      </c>
    </row>
    <row r="44" spans="4:7" ht="12">
      <c r="D44" s="5">
        <f>D17+D25+D42</f>
        <v>21704</v>
      </c>
      <c r="E44" s="5">
        <f>E17+E25+E42</f>
        <v>7053334795</v>
      </c>
      <c r="F44" s="5">
        <f>F17+F25+F42</f>
        <v>6204555719</v>
      </c>
      <c r="G44" s="5">
        <f>G17+G25+G42</f>
        <v>857692.9460263434</v>
      </c>
    </row>
  </sheetData>
  <sheetProtection password="CC50" sheet="1" selectLockedCells="1" selectUnlockedCells="1"/>
  <printOptions horizontalCentered="1"/>
  <pageMargins left="0.7" right="0.7" top="0.75" bottom="0.75" header="0.3" footer="0.3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2">
      <selection activeCell="M12" sqref="M12"/>
    </sheetView>
  </sheetViews>
  <sheetFormatPr defaultColWidth="8.8515625" defaultRowHeight="15"/>
  <cols>
    <col min="1" max="1" width="8.8515625" style="123" bestFit="1" customWidth="1"/>
    <col min="2" max="2" width="2.7109375" style="123" bestFit="1" customWidth="1"/>
    <col min="3" max="3" width="16.00390625" style="0" bestFit="1" customWidth="1"/>
    <col min="4" max="4" width="2.7109375" style="123" bestFit="1" customWidth="1"/>
    <col min="5" max="5" width="10.00390625" style="123" customWidth="1"/>
    <col min="6" max="6" width="2.7109375" style="123" bestFit="1" customWidth="1"/>
    <col min="7" max="7" width="9.7109375" style="0" customWidth="1"/>
    <col min="8" max="8" width="2.7109375" style="123" bestFit="1" customWidth="1"/>
    <col min="9" max="9" width="9.7109375" style="123" customWidth="1"/>
    <col min="10" max="10" width="2.7109375" style="123" bestFit="1" customWidth="1"/>
    <col min="11" max="11" width="9.7109375" style="123" customWidth="1"/>
  </cols>
  <sheetData>
    <row r="1" spans="1:11" ht="30">
      <c r="A1" s="125" t="s">
        <v>122</v>
      </c>
      <c r="B1" s="125"/>
      <c r="C1" s="125" t="s">
        <v>27</v>
      </c>
      <c r="D1" s="125"/>
      <c r="E1" s="126" t="s">
        <v>124</v>
      </c>
      <c r="F1" s="125"/>
      <c r="G1" s="126" t="s">
        <v>123</v>
      </c>
      <c r="H1" s="125"/>
      <c r="I1" s="126" t="s">
        <v>125</v>
      </c>
      <c r="J1" s="125"/>
      <c r="K1" s="126" t="s">
        <v>127</v>
      </c>
    </row>
    <row r="2" spans="1:11" ht="15">
      <c r="A2" s="123" t="s">
        <v>34</v>
      </c>
      <c r="B2" s="124">
        <v>1</v>
      </c>
      <c r="C2" s="9" t="s">
        <v>137</v>
      </c>
      <c r="D2" s="124">
        <v>1</v>
      </c>
      <c r="E2" s="128">
        <v>0.35</v>
      </c>
      <c r="F2" s="124">
        <v>1</v>
      </c>
      <c r="G2" s="128">
        <v>0.35</v>
      </c>
      <c r="H2" s="124">
        <v>1</v>
      </c>
      <c r="I2" s="128">
        <v>0.65</v>
      </c>
      <c r="J2" s="124">
        <v>1</v>
      </c>
      <c r="K2" s="128">
        <v>0</v>
      </c>
    </row>
    <row r="3" spans="1:11" ht="15">
      <c r="A3" s="124" t="s">
        <v>33</v>
      </c>
      <c r="B3" s="124">
        <v>2</v>
      </c>
      <c r="C3" s="9" t="s">
        <v>1</v>
      </c>
      <c r="D3" s="124">
        <v>2</v>
      </c>
      <c r="E3" s="128">
        <v>0.4</v>
      </c>
      <c r="F3" s="124">
        <v>2</v>
      </c>
      <c r="G3" s="128">
        <v>0.4</v>
      </c>
      <c r="H3" s="124">
        <v>2</v>
      </c>
      <c r="I3" s="128">
        <v>0.6</v>
      </c>
      <c r="J3" s="124">
        <v>2</v>
      </c>
      <c r="K3" s="128">
        <v>0.35</v>
      </c>
    </row>
    <row r="4" spans="1:11" ht="15">
      <c r="A4" s="124" t="s">
        <v>32</v>
      </c>
      <c r="B4" s="124">
        <v>3</v>
      </c>
      <c r="C4" s="9" t="s">
        <v>2</v>
      </c>
      <c r="D4" s="124">
        <v>3</v>
      </c>
      <c r="E4" s="128">
        <v>0.45</v>
      </c>
      <c r="F4" s="124">
        <v>3</v>
      </c>
      <c r="G4" s="128">
        <v>0.45</v>
      </c>
      <c r="H4" s="124">
        <v>3</v>
      </c>
      <c r="I4" s="128">
        <v>0.55</v>
      </c>
      <c r="J4" s="124">
        <v>3</v>
      </c>
      <c r="K4" s="128">
        <v>0.4</v>
      </c>
    </row>
    <row r="5" spans="1:11" ht="15">
      <c r="A5" s="124" t="s">
        <v>32</v>
      </c>
      <c r="B5" s="124">
        <v>4</v>
      </c>
      <c r="C5" s="9" t="s">
        <v>3</v>
      </c>
      <c r="D5" s="124">
        <v>4</v>
      </c>
      <c r="E5" s="128">
        <v>0.5</v>
      </c>
      <c r="F5" s="124">
        <v>4</v>
      </c>
      <c r="G5" s="128">
        <v>0.5</v>
      </c>
      <c r="H5" s="124">
        <v>4</v>
      </c>
      <c r="I5" s="128">
        <v>0.5</v>
      </c>
      <c r="J5" s="124">
        <v>4</v>
      </c>
      <c r="K5" s="128">
        <v>0.45</v>
      </c>
    </row>
    <row r="6" spans="1:11" ht="15">
      <c r="A6" s="124" t="s">
        <v>32</v>
      </c>
      <c r="B6" s="124">
        <v>5</v>
      </c>
      <c r="C6" s="9" t="s">
        <v>4</v>
      </c>
      <c r="D6" s="124">
        <v>5</v>
      </c>
      <c r="E6" s="128">
        <v>0.55</v>
      </c>
      <c r="F6" s="124">
        <v>5</v>
      </c>
      <c r="G6" s="128">
        <v>0.55</v>
      </c>
      <c r="H6" s="124">
        <v>5</v>
      </c>
      <c r="I6" s="128">
        <v>0.45</v>
      </c>
      <c r="J6" s="124">
        <v>5</v>
      </c>
      <c r="K6" s="128">
        <v>0.5</v>
      </c>
    </row>
    <row r="7" spans="1:11" ht="15">
      <c r="A7" s="124" t="s">
        <v>32</v>
      </c>
      <c r="B7" s="124">
        <v>6</v>
      </c>
      <c r="C7" s="9" t="s">
        <v>5</v>
      </c>
      <c r="D7" s="124">
        <v>6</v>
      </c>
      <c r="E7" s="128">
        <v>0.6</v>
      </c>
      <c r="F7" s="124">
        <v>6</v>
      </c>
      <c r="G7" s="128">
        <v>0.6</v>
      </c>
      <c r="H7" s="124">
        <v>6</v>
      </c>
      <c r="I7" s="128">
        <v>0.4</v>
      </c>
      <c r="J7" s="124">
        <v>6</v>
      </c>
      <c r="K7" s="128">
        <v>0.55</v>
      </c>
    </row>
    <row r="8" spans="1:11" ht="15">
      <c r="A8" s="124" t="s">
        <v>34</v>
      </c>
      <c r="B8" s="124">
        <v>7</v>
      </c>
      <c r="C8" s="9" t="s">
        <v>6</v>
      </c>
      <c r="D8" s="124">
        <v>7</v>
      </c>
      <c r="E8" s="128">
        <v>0.65</v>
      </c>
      <c r="F8" s="124">
        <v>7</v>
      </c>
      <c r="G8" s="128">
        <v>0.65</v>
      </c>
      <c r="H8" s="124">
        <v>7</v>
      </c>
      <c r="I8" s="128">
        <v>0.35</v>
      </c>
      <c r="J8" s="124">
        <v>7</v>
      </c>
      <c r="K8" s="128">
        <v>0.6</v>
      </c>
    </row>
    <row r="9" spans="1:11" ht="15">
      <c r="A9" s="124" t="s">
        <v>33</v>
      </c>
      <c r="B9" s="124">
        <v>8</v>
      </c>
      <c r="C9" s="9" t="s">
        <v>7</v>
      </c>
      <c r="D9" s="124">
        <v>8</v>
      </c>
      <c r="E9" s="128">
        <v>0.7</v>
      </c>
      <c r="F9" s="124">
        <v>8</v>
      </c>
      <c r="G9" s="128">
        <v>0.7</v>
      </c>
      <c r="H9" s="124">
        <v>8</v>
      </c>
      <c r="I9" s="128">
        <v>0.3</v>
      </c>
      <c r="J9" s="124">
        <v>8</v>
      </c>
      <c r="K9" s="128">
        <v>0.65</v>
      </c>
    </row>
    <row r="10" spans="1:11" ht="15">
      <c r="A10" s="124" t="s">
        <v>34</v>
      </c>
      <c r="B10" s="124">
        <v>9</v>
      </c>
      <c r="C10" s="9" t="s">
        <v>8</v>
      </c>
      <c r="D10" s="124">
        <v>9</v>
      </c>
      <c r="E10" s="128">
        <v>0.75</v>
      </c>
      <c r="F10" s="124">
        <v>9</v>
      </c>
      <c r="G10" s="128">
        <v>0.75</v>
      </c>
      <c r="H10" s="124">
        <v>9</v>
      </c>
      <c r="I10" s="128">
        <v>0.25</v>
      </c>
      <c r="J10" s="124">
        <v>9</v>
      </c>
      <c r="K10" s="128">
        <v>0.7</v>
      </c>
    </row>
    <row r="11" spans="1:11" ht="15">
      <c r="A11" s="123" t="s">
        <v>34</v>
      </c>
      <c r="B11" s="124">
        <v>10</v>
      </c>
      <c r="C11" s="9" t="s">
        <v>138</v>
      </c>
      <c r="D11" s="124">
        <v>10</v>
      </c>
      <c r="E11" s="128">
        <v>0.8</v>
      </c>
      <c r="F11" s="124">
        <v>10</v>
      </c>
      <c r="G11" s="128">
        <v>0.8</v>
      </c>
      <c r="H11" s="124">
        <v>10</v>
      </c>
      <c r="I11" s="128">
        <v>0.2</v>
      </c>
      <c r="J11" s="124">
        <v>10</v>
      </c>
      <c r="K11" s="128">
        <v>0.75</v>
      </c>
    </row>
    <row r="12" spans="1:11" ht="15">
      <c r="A12" s="124" t="s">
        <v>32</v>
      </c>
      <c r="B12" s="124">
        <v>11</v>
      </c>
      <c r="C12" s="9" t="s">
        <v>9</v>
      </c>
      <c r="D12" s="124">
        <v>11</v>
      </c>
      <c r="E12" s="128">
        <v>0.85</v>
      </c>
      <c r="F12" s="124">
        <v>11</v>
      </c>
      <c r="G12" s="128">
        <v>0.85</v>
      </c>
      <c r="H12" s="124">
        <v>11</v>
      </c>
      <c r="I12" s="128">
        <v>0.15</v>
      </c>
      <c r="J12" s="124">
        <v>11</v>
      </c>
      <c r="K12" s="128">
        <v>0.8</v>
      </c>
    </row>
    <row r="13" spans="1:11" ht="15">
      <c r="A13" s="123" t="s">
        <v>34</v>
      </c>
      <c r="B13" s="124">
        <v>12</v>
      </c>
      <c r="C13" s="9" t="s">
        <v>139</v>
      </c>
      <c r="D13" s="124">
        <v>12</v>
      </c>
      <c r="E13" s="128">
        <v>0.9</v>
      </c>
      <c r="F13" s="124">
        <v>12</v>
      </c>
      <c r="G13" s="128">
        <v>0.9</v>
      </c>
      <c r="H13" s="124">
        <v>12</v>
      </c>
      <c r="I13" s="128">
        <v>0.1</v>
      </c>
      <c r="J13" s="124">
        <v>12</v>
      </c>
      <c r="K13" s="128">
        <v>0.85</v>
      </c>
    </row>
    <row r="14" spans="1:11" ht="15">
      <c r="A14" s="124" t="s">
        <v>32</v>
      </c>
      <c r="B14" s="124">
        <v>13</v>
      </c>
      <c r="C14" s="9" t="s">
        <v>10</v>
      </c>
      <c r="D14" s="124">
        <v>13</v>
      </c>
      <c r="E14" s="372">
        <v>1</v>
      </c>
      <c r="F14" s="124">
        <v>13</v>
      </c>
      <c r="G14" s="128">
        <v>1</v>
      </c>
      <c r="H14" s="124">
        <v>13</v>
      </c>
      <c r="I14" s="372">
        <v>0</v>
      </c>
      <c r="J14" s="124">
        <v>13</v>
      </c>
      <c r="K14" s="128">
        <v>0.9</v>
      </c>
    </row>
    <row r="15" spans="1:11" ht="15">
      <c r="A15" s="124" t="s">
        <v>33</v>
      </c>
      <c r="B15" s="124">
        <v>14</v>
      </c>
      <c r="C15" s="9" t="s">
        <v>11</v>
      </c>
      <c r="D15" s="124">
        <v>14</v>
      </c>
      <c r="F15" s="124"/>
      <c r="H15" s="124"/>
      <c r="J15" s="124">
        <v>14</v>
      </c>
      <c r="K15" s="372">
        <v>1</v>
      </c>
    </row>
    <row r="16" spans="1:10" ht="15">
      <c r="A16" s="123" t="s">
        <v>34</v>
      </c>
      <c r="B16" s="124">
        <v>15</v>
      </c>
      <c r="C16" s="9" t="s">
        <v>140</v>
      </c>
      <c r="D16" s="124">
        <v>15</v>
      </c>
      <c r="F16" s="124"/>
      <c r="H16" s="124"/>
      <c r="J16" s="124"/>
    </row>
    <row r="17" spans="1:10" ht="15">
      <c r="A17" s="123" t="s">
        <v>34</v>
      </c>
      <c r="B17" s="124">
        <v>16</v>
      </c>
      <c r="C17" s="9" t="s">
        <v>141</v>
      </c>
      <c r="D17" s="124">
        <v>16</v>
      </c>
      <c r="F17" s="124"/>
      <c r="H17" s="124"/>
      <c r="J17" s="124"/>
    </row>
    <row r="18" spans="1:10" ht="15">
      <c r="A18" s="124" t="s">
        <v>33</v>
      </c>
      <c r="B18" s="124">
        <v>17</v>
      </c>
      <c r="C18" s="9" t="s">
        <v>12</v>
      </c>
      <c r="D18" s="124">
        <v>17</v>
      </c>
      <c r="F18" s="124"/>
      <c r="H18" s="124"/>
      <c r="J18" s="124"/>
    </row>
    <row r="19" spans="1:10" ht="15">
      <c r="A19" s="123" t="s">
        <v>34</v>
      </c>
      <c r="B19" s="124">
        <v>18</v>
      </c>
      <c r="C19" s="9" t="s">
        <v>142</v>
      </c>
      <c r="D19" s="124">
        <v>18</v>
      </c>
      <c r="F19" s="124"/>
      <c r="H19" s="124"/>
      <c r="J19" s="124"/>
    </row>
    <row r="20" spans="1:10" ht="15">
      <c r="A20" s="124" t="s">
        <v>32</v>
      </c>
      <c r="B20" s="124">
        <v>19</v>
      </c>
      <c r="C20" s="9" t="s">
        <v>13</v>
      </c>
      <c r="D20" s="124">
        <v>19</v>
      </c>
      <c r="F20" s="124"/>
      <c r="H20" s="124"/>
      <c r="J20" s="124"/>
    </row>
    <row r="21" spans="1:10" ht="15">
      <c r="A21" s="124" t="s">
        <v>34</v>
      </c>
      <c r="B21" s="124">
        <v>20</v>
      </c>
      <c r="C21" s="9" t="s">
        <v>14</v>
      </c>
      <c r="D21" s="124">
        <v>20</v>
      </c>
      <c r="F21" s="124"/>
      <c r="H21" s="124"/>
      <c r="J21" s="124"/>
    </row>
    <row r="22" spans="1:10" ht="15">
      <c r="A22" s="124" t="s">
        <v>32</v>
      </c>
      <c r="B22" s="124">
        <v>21</v>
      </c>
      <c r="C22" s="9" t="s">
        <v>15</v>
      </c>
      <c r="D22" s="124">
        <v>21</v>
      </c>
      <c r="F22" s="124"/>
      <c r="H22" s="124"/>
      <c r="J22" s="124"/>
    </row>
    <row r="23" spans="1:10" ht="15">
      <c r="A23" s="123" t="s">
        <v>34</v>
      </c>
      <c r="B23" s="124">
        <v>22</v>
      </c>
      <c r="C23" s="9" t="s">
        <v>89</v>
      </c>
      <c r="D23" s="124">
        <v>22</v>
      </c>
      <c r="F23" s="124"/>
      <c r="H23" s="124"/>
      <c r="J23" s="124"/>
    </row>
    <row r="24" spans="1:10" ht="15">
      <c r="A24" s="124" t="s">
        <v>32</v>
      </c>
      <c r="B24" s="124">
        <v>23</v>
      </c>
      <c r="C24" s="9" t="s">
        <v>16</v>
      </c>
      <c r="D24" s="124">
        <v>23</v>
      </c>
      <c r="F24" s="124"/>
      <c r="H24" s="124"/>
      <c r="J24" s="124"/>
    </row>
    <row r="25" spans="1:10" ht="15">
      <c r="A25" s="123" t="s">
        <v>34</v>
      </c>
      <c r="B25" s="124">
        <v>24</v>
      </c>
      <c r="C25" s="9" t="s">
        <v>143</v>
      </c>
      <c r="D25" s="124">
        <v>24</v>
      </c>
      <c r="F25" s="124"/>
      <c r="H25" s="124"/>
      <c r="J25" s="124"/>
    </row>
    <row r="26" spans="1:10" ht="15">
      <c r="A26" s="124" t="s">
        <v>32</v>
      </c>
      <c r="B26" s="124">
        <v>25</v>
      </c>
      <c r="C26" s="9" t="s">
        <v>17</v>
      </c>
      <c r="D26" s="124">
        <v>25</v>
      </c>
      <c r="F26" s="124"/>
      <c r="H26" s="124"/>
      <c r="J26" s="124"/>
    </row>
    <row r="27" spans="1:10" ht="15">
      <c r="A27" s="123" t="s">
        <v>34</v>
      </c>
      <c r="B27" s="124">
        <v>26</v>
      </c>
      <c r="C27" s="9" t="s">
        <v>144</v>
      </c>
      <c r="D27" s="124">
        <v>26</v>
      </c>
      <c r="F27" s="124"/>
      <c r="H27" s="124"/>
      <c r="J27" s="124"/>
    </row>
    <row r="28" spans="1:10" ht="15">
      <c r="A28" s="124" t="s">
        <v>32</v>
      </c>
      <c r="B28" s="124">
        <v>27</v>
      </c>
      <c r="C28" s="9" t="s">
        <v>18</v>
      </c>
      <c r="D28" s="124">
        <v>27</v>
      </c>
      <c r="F28" s="124"/>
      <c r="H28" s="124"/>
      <c r="J28" s="124"/>
    </row>
    <row r="29" spans="1:4" ht="15">
      <c r="A29" s="124" t="s">
        <v>33</v>
      </c>
      <c r="B29" s="124">
        <v>28</v>
      </c>
      <c r="C29" s="9" t="s">
        <v>19</v>
      </c>
      <c r="D29" s="124">
        <v>28</v>
      </c>
    </row>
    <row r="30" spans="1:4" ht="15">
      <c r="A30" s="123" t="s">
        <v>34</v>
      </c>
      <c r="B30" s="124">
        <v>29</v>
      </c>
      <c r="C30" s="9" t="s">
        <v>145</v>
      </c>
      <c r="D30" s="124">
        <v>29</v>
      </c>
    </row>
    <row r="31" spans="1:4" ht="15">
      <c r="A31" s="124" t="s">
        <v>32</v>
      </c>
      <c r="B31" s="124">
        <v>30</v>
      </c>
      <c r="C31" s="9" t="s">
        <v>20</v>
      </c>
      <c r="D31" s="124">
        <v>30</v>
      </c>
    </row>
    <row r="32" spans="1:4" ht="15">
      <c r="A32" s="124" t="s">
        <v>34</v>
      </c>
      <c r="B32" s="124">
        <v>31</v>
      </c>
      <c r="C32" s="9" t="s">
        <v>21</v>
      </c>
      <c r="D32" s="124">
        <v>31</v>
      </c>
    </row>
    <row r="33" spans="1:4" ht="15">
      <c r="A33" s="124" t="s">
        <v>34</v>
      </c>
      <c r="B33" s="124">
        <v>32</v>
      </c>
      <c r="C33" s="9" t="s">
        <v>90</v>
      </c>
      <c r="D33" s="124">
        <v>32</v>
      </c>
    </row>
    <row r="34" spans="1:4" ht="15">
      <c r="A34" s="124" t="s">
        <v>34</v>
      </c>
      <c r="B34" s="124">
        <v>33</v>
      </c>
      <c r="C34" s="9" t="s">
        <v>22</v>
      </c>
      <c r="D34" s="124">
        <v>33</v>
      </c>
    </row>
    <row r="35" spans="1:4" ht="15">
      <c r="A35" s="124" t="s">
        <v>32</v>
      </c>
      <c r="B35" s="124">
        <v>34</v>
      </c>
      <c r="C35" s="9" t="s">
        <v>23</v>
      </c>
      <c r="D35" s="124">
        <v>34</v>
      </c>
    </row>
    <row r="36" spans="1:4" ht="15">
      <c r="A36" s="124" t="s">
        <v>33</v>
      </c>
      <c r="B36" s="124">
        <v>35</v>
      </c>
      <c r="C36" s="9" t="s">
        <v>24</v>
      </c>
      <c r="D36" s="124">
        <v>35</v>
      </c>
    </row>
    <row r="37" spans="1:4" ht="15">
      <c r="A37" s="124" t="s">
        <v>32</v>
      </c>
      <c r="B37" s="124">
        <v>36</v>
      </c>
      <c r="C37" s="9" t="s">
        <v>25</v>
      </c>
      <c r="D37" s="124">
        <v>36</v>
      </c>
    </row>
    <row r="38" spans="1:4" ht="15">
      <c r="A38" s="124" t="s">
        <v>33</v>
      </c>
      <c r="B38" s="124">
        <v>37</v>
      </c>
      <c r="C38" s="9" t="s">
        <v>26</v>
      </c>
      <c r="D38" s="124">
        <v>37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J</cp:lastModifiedBy>
  <cp:lastPrinted>2017-05-19T12:58:24Z</cp:lastPrinted>
  <dcterms:created xsi:type="dcterms:W3CDTF">2016-09-23T15:01:03Z</dcterms:created>
  <dcterms:modified xsi:type="dcterms:W3CDTF">2017-06-12T20:36:15Z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