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4915" windowHeight="1329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<sst xmlns="http://schemas.openxmlformats.org/spreadsheetml/2006/main" count="127" uniqueCount="86">
  <si>
    <t>fy16</t>
  </si>
  <si>
    <t>fy17</t>
  </si>
  <si>
    <t>fy18</t>
  </si>
  <si>
    <t>fy19</t>
  </si>
  <si>
    <t>fy20</t>
  </si>
  <si>
    <t>fy21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</si>
  <si>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</si>
  <si>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</si>
  <si>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</si>
  <si>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</si>
  <si>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</si>
  <si>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</si>
  <si>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</si>
  <si>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</si>
  <si>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</si>
  <si>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</si>
  <si>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</si>
  <si>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</si>
  <si>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</si>
  <si>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</si>
  <si>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>Total Cost of Construction</t>
  </si>
  <si>
    <t>State Contribution</t>
  </si>
  <si>
    <t>Annual Audit Cost</t>
  </si>
  <si>
    <t>Annual interest rate increase</t>
  </si>
  <si>
    <t>Total Cost</t>
  </si>
  <si>
    <t>Borrowing</t>
  </si>
  <si>
    <t>Total Borrowing</t>
  </si>
  <si>
    <t>Debt Service</t>
  </si>
  <si>
    <t>20 year rate</t>
  </si>
  <si>
    <t>10 year rate</t>
  </si>
  <si>
    <t>1 year rate</t>
  </si>
  <si>
    <t>Interest</t>
  </si>
  <si>
    <t>Principal</t>
  </si>
  <si>
    <t>Bond Origination</t>
  </si>
  <si>
    <t>Audit</t>
  </si>
  <si>
    <t>fy36</t>
  </si>
  <si>
    <t>15 year rate</t>
  </si>
  <si>
    <t>Bond Anticipation notes for 2 years interest only payments then 18 years of one year notes interest + principal payments at prevailing interest rate</t>
  </si>
  <si>
    <t>20 year bond level payments at prevailing interest rate</t>
  </si>
  <si>
    <t>20 Year bond level principal payments at prevailing interest rate</t>
  </si>
  <si>
    <t>Ashfield</t>
  </si>
  <si>
    <t>Becket</t>
  </si>
  <si>
    <t>Blandford</t>
  </si>
  <si>
    <t>Charlemont</t>
  </si>
  <si>
    <t>Chesterfield</t>
  </si>
  <si>
    <t>Colrain</t>
  </si>
  <si>
    <t>Cummington</t>
  </si>
  <si>
    <t>Egremont</t>
  </si>
  <si>
    <t>Goshen</t>
  </si>
  <si>
    <t>Hawley</t>
  </si>
  <si>
    <t>Heath</t>
  </si>
  <si>
    <t>Hinsdale</t>
  </si>
  <si>
    <t>Leyden</t>
  </si>
  <si>
    <t>Middlefield</t>
  </si>
  <si>
    <t>Monterey</t>
  </si>
  <si>
    <t>Montgomery</t>
  </si>
  <si>
    <t>New Ashford</t>
  </si>
  <si>
    <t>New Marlborough</t>
  </si>
  <si>
    <t>New Salem</t>
  </si>
  <si>
    <t>Otis</t>
  </si>
  <si>
    <t>Peru</t>
  </si>
  <si>
    <t>Plainfield</t>
  </si>
  <si>
    <t>Rowe</t>
  </si>
  <si>
    <t>Sandisfield</t>
  </si>
  <si>
    <t>Shutesbury</t>
  </si>
  <si>
    <t>Tolland</t>
  </si>
  <si>
    <t>Tyringham</t>
  </si>
  <si>
    <t>Warwick</t>
  </si>
  <si>
    <t>Washington</t>
  </si>
  <si>
    <t>Wendell</t>
  </si>
  <si>
    <t>West Stockbridge</t>
  </si>
  <si>
    <t>Windsor</t>
  </si>
  <si>
    <t>Worthington</t>
  </si>
  <si>
    <t>Current Bond Anticipation Note Rate</t>
  </si>
  <si>
    <t>Current A Rated 20yr Bond Rate</t>
  </si>
  <si>
    <t>Current A Rated 10Yr Bond Rate</t>
  </si>
  <si>
    <t>Select Your Town</t>
  </si>
  <si>
    <t>Bond Anticipation Notes for 2 years at interest only then 3 years of Bond Anticipaiton Notes with interest + 4% of principal  then a 10 years State House Notes at prevailing interest rate</t>
  </si>
  <si>
    <t>Bond Anticipation Notes for 2 years at interest only then 3 years of Bond Anticipation Notes with interest + 4% of principal  then a 15 year bond level principal payments at prevailing interest rate</t>
  </si>
  <si>
    <t>Bond Anticipation Notes for 2 years at interest only then 3 years of Bond Anticipation Notes with interest + 4% of principal  then a 15 year bond level payments at prevailing interest rate</t>
  </si>
  <si>
    <t>Underwriters Discount</t>
  </si>
  <si>
    <t>Cost of Issuance</t>
  </si>
  <si>
    <t>Bond Insurance Premium</t>
  </si>
  <si>
    <t>fy37</t>
  </si>
  <si>
    <t>Town of Leyden</t>
  </si>
  <si>
    <t>Leyden's Contribution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</si>
</sst>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2" fontId="0" fillId="33" borderId="0" xfId="0" applyNumberFormat="1" applyFill="1" applyAlignment="1">
      <alignment/>
    </xf>
    <xf numFmtId="0" fontId="0" fillId="34" borderId="0" xfId="0" applyFill="1" applyAlignment="1">
      <alignment horizontal="right"/>
    </xf>
    <xf numFmtId="4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10" fontId="0" fillId="35" borderId="0" xfId="0" applyNumberFormat="1" applyFill="1" applyAlignment="1">
      <alignment horizontal="right"/>
    </xf>
    <xf numFmtId="164" fontId="0" fillId="35" borderId="0" xfId="0" applyNumberFormat="1" applyFill="1" applyAlignment="1">
      <alignment horizontal="right"/>
    </xf>
    <xf numFmtId="0" fontId="37" fillId="0" borderId="0" xfId="0" applyFont="1" applyAlignment="1">
      <alignment/>
    </xf>
    <xf numFmtId="0" fontId="39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38" fontId="40" fillId="0" borderId="0" xfId="0" applyNumberFormat="1" applyFont="1" applyBorder="1" applyAlignment="1">
      <alignment/>
    </xf>
    <xf numFmtId="38" fontId="40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38" fontId="40" fillId="0" borderId="11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10" fontId="41" fillId="0" borderId="0" xfId="0" applyNumberFormat="1" applyFont="1" applyAlignment="1">
      <alignment/>
    </xf>
    <xf numFmtId="42" fontId="41" fillId="0" borderId="0" xfId="0" applyNumberFormat="1" applyFont="1" applyAlignment="1">
      <alignment/>
    </xf>
    <xf numFmtId="42" fontId="42" fillId="0" borderId="0" xfId="0" applyNumberFormat="1" applyFont="1" applyAlignment="1">
      <alignment/>
    </xf>
    <xf numFmtId="42" fontId="0" fillId="0" borderId="0" xfId="0" applyNumberFormat="1" applyAlignment="1">
      <alignment/>
    </xf>
    <xf numFmtId="42" fontId="37" fillId="0" borderId="0" xfId="0" applyNumberFormat="1" applyFont="1" applyAlignment="1">
      <alignment/>
    </xf>
    <xf numFmtId="6" fontId="0" fillId="35" borderId="0" xfId="0" applyNumberFormat="1" applyFill="1" applyAlignment="1">
      <alignment horizontal="right"/>
    </xf>
    <xf numFmtId="0" fontId="41" fillId="6" borderId="0" xfId="0" applyFont="1" applyFill="1" applyAlignment="1">
      <alignment horizontal="center"/>
    </xf>
    <xf numFmtId="0" fontId="41" fillId="6" borderId="0" xfId="0" applyFont="1" applyFill="1" applyAlignment="1">
      <alignment/>
    </xf>
    <xf numFmtId="10" fontId="41" fillId="6" borderId="0" xfId="0" applyNumberFormat="1" applyFont="1" applyFill="1" applyAlignment="1">
      <alignment/>
    </xf>
    <xf numFmtId="0" fontId="0" fillId="35" borderId="0" xfId="0" applyFill="1" applyAlignment="1">
      <alignment horizontal="right"/>
    </xf>
    <xf numFmtId="42" fontId="4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33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47625</xdr:rowOff>
    </xdr:from>
    <xdr:to>
      <xdr:col>5</xdr:col>
      <xdr:colOff>266700</xdr:colOff>
      <xdr:row>5</xdr:row>
      <xdr:rowOff>66675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857250"/>
          <a:ext cx="1714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74"/>
  <sheetViews>
    <sheetView tabSelected="1" zoomScalePageLayoutView="0" workbookViewId="0" topLeftCell="A1">
      <selection activeCell="I45" sqref="I45"/>
    </sheetView>
  </sheetViews>
  <sheetFormatPr defaultColWidth="9.140625" defaultRowHeight="15"/>
  <cols>
    <col min="1" max="1" width="15.8515625" style="0" bestFit="1" customWidth="1"/>
    <col min="2" max="2" width="5.7109375" style="0" bestFit="1" customWidth="1"/>
    <col min="3" max="8" width="11.00390625" style="0" bestFit="1" customWidth="1"/>
    <col min="9" max="11" width="11.57421875" style="0" bestFit="1" customWidth="1"/>
    <col min="12" max="12" width="11.421875" style="0" customWidth="1"/>
    <col min="13" max="13" width="12.28125" style="0" bestFit="1" customWidth="1"/>
    <col min="14" max="17" width="11.00390625" style="0" bestFit="1" customWidth="1"/>
    <col min="18" max="18" width="10.00390625" style="0" bestFit="1" customWidth="1"/>
    <col min="19" max="23" width="9.57421875" style="0" bestFit="1" customWidth="1"/>
    <col min="24" max="24" width="11.57421875" style="0" bestFit="1" customWidth="1"/>
  </cols>
  <sheetData>
    <row r="1" spans="10:13" ht="18.75">
      <c r="J1" s="31" t="s">
        <v>84</v>
      </c>
      <c r="K1" s="31"/>
      <c r="L1" s="31"/>
      <c r="M1" s="31"/>
    </row>
    <row r="2" spans="10:13" ht="15">
      <c r="J2" s="32" t="s">
        <v>20</v>
      </c>
      <c r="K2" s="32"/>
      <c r="L2" s="32"/>
      <c r="M2" s="2">
        <v>1750000</v>
      </c>
    </row>
    <row r="3" spans="10:13" ht="15">
      <c r="J3" s="32" t="s">
        <v>21</v>
      </c>
      <c r="K3" s="32"/>
      <c r="L3" s="32"/>
      <c r="M3" s="2">
        <v>-680000</v>
      </c>
    </row>
    <row r="4" spans="4:13" ht="15">
      <c r="D4" s="29" t="s">
        <v>76</v>
      </c>
      <c r="E4" s="29"/>
      <c r="F4" s="29"/>
      <c r="J4" s="32" t="s">
        <v>85</v>
      </c>
      <c r="K4" s="32"/>
      <c r="L4" s="32"/>
      <c r="M4" s="2">
        <v>1070000</v>
      </c>
    </row>
    <row r="5" spans="10:13" ht="15">
      <c r="J5" s="3"/>
      <c r="K5" s="3"/>
      <c r="L5" s="3"/>
      <c r="M5" s="4"/>
    </row>
    <row r="6" spans="9:13" ht="15">
      <c r="I6" s="10"/>
      <c r="J6" s="5"/>
      <c r="K6" s="5"/>
      <c r="L6" s="6" t="s">
        <v>73</v>
      </c>
      <c r="M6" s="7">
        <v>0.005</v>
      </c>
    </row>
    <row r="7" spans="9:13" ht="15">
      <c r="I7" s="10"/>
      <c r="J7" s="27" t="s">
        <v>75</v>
      </c>
      <c r="K7" s="27"/>
      <c r="L7" s="27"/>
      <c r="M7" s="7">
        <v>0.0275</v>
      </c>
    </row>
    <row r="8" spans="9:13" ht="15">
      <c r="I8" s="10"/>
      <c r="J8" s="27" t="s">
        <v>74</v>
      </c>
      <c r="K8" s="27"/>
      <c r="L8" s="27"/>
      <c r="M8" s="7">
        <v>0.034</v>
      </c>
    </row>
    <row r="9" spans="9:13" ht="15">
      <c r="I9" s="10"/>
      <c r="J9" s="27" t="s">
        <v>80</v>
      </c>
      <c r="K9" s="27"/>
      <c r="L9" s="27"/>
      <c r="M9" s="7">
        <v>0.01</v>
      </c>
    </row>
    <row r="10" spans="9:13" ht="15">
      <c r="I10" s="10"/>
      <c r="J10" s="27" t="s">
        <v>81</v>
      </c>
      <c r="K10" s="27"/>
      <c r="L10" s="27"/>
      <c r="M10" s="23">
        <v>40000</v>
      </c>
    </row>
    <row r="11" spans="9:13" ht="15">
      <c r="I11" s="10"/>
      <c r="J11" s="27" t="s">
        <v>82</v>
      </c>
      <c r="K11" s="27"/>
      <c r="L11" s="27"/>
      <c r="M11" s="7">
        <v>0.0038</v>
      </c>
    </row>
    <row r="12" spans="9:13" ht="15">
      <c r="I12" s="10"/>
      <c r="J12" s="27" t="s">
        <v>22</v>
      </c>
      <c r="K12" s="27"/>
      <c r="L12" s="27"/>
      <c r="M12" s="8">
        <v>15000</v>
      </c>
    </row>
    <row r="13" spans="9:13" ht="15">
      <c r="I13" s="10"/>
      <c r="J13" s="27" t="s">
        <v>23</v>
      </c>
      <c r="K13" s="27"/>
      <c r="L13" s="27"/>
      <c r="M13" s="7">
        <v>0.005</v>
      </c>
    </row>
    <row r="15" spans="1:24" s="1" customFormat="1" ht="15">
      <c r="A15" s="24"/>
      <c r="B15" s="24" t="s">
        <v>0</v>
      </c>
      <c r="C15" s="24" t="s">
        <v>1</v>
      </c>
      <c r="D15" s="24" t="s">
        <v>2</v>
      </c>
      <c r="E15" s="24" t="s">
        <v>3</v>
      </c>
      <c r="F15" s="24" t="s">
        <v>4</v>
      </c>
      <c r="G15" s="24" t="s">
        <v>5</v>
      </c>
      <c r="H15" s="24" t="s">
        <v>6</v>
      </c>
      <c r="I15" s="24" t="s">
        <v>7</v>
      </c>
      <c r="J15" s="24" t="s">
        <v>8</v>
      </c>
      <c r="K15" s="24" t="s">
        <v>9</v>
      </c>
      <c r="L15" s="24" t="s">
        <v>10</v>
      </c>
      <c r="M15" s="24" t="s">
        <v>11</v>
      </c>
      <c r="N15" s="24" t="s">
        <v>12</v>
      </c>
      <c r="O15" s="24" t="s">
        <v>13</v>
      </c>
      <c r="P15" s="24" t="s">
        <v>14</v>
      </c>
      <c r="Q15" s="24" t="s">
        <v>15</v>
      </c>
      <c r="R15" s="24" t="s">
        <v>16</v>
      </c>
      <c r="S15" s="24" t="s">
        <v>17</v>
      </c>
      <c r="T15" s="24" t="s">
        <v>18</v>
      </c>
      <c r="U15" s="24" t="s">
        <v>19</v>
      </c>
      <c r="V15" s="24" t="s">
        <v>35</v>
      </c>
      <c r="W15" s="24" t="s">
        <v>83</v>
      </c>
      <c r="X15" s="16" t="s">
        <v>24</v>
      </c>
    </row>
    <row r="16" spans="1:24" ht="15">
      <c r="A16" s="25" t="s">
        <v>30</v>
      </c>
      <c r="B16" s="26">
        <f>M6</f>
        <v>0.005</v>
      </c>
      <c r="C16" s="26">
        <f>B16+$M$13</f>
        <v>0.01</v>
      </c>
      <c r="D16" s="26">
        <f aca="true" t="shared" si="0" ref="D16:V16">C16+$M$13</f>
        <v>0.015</v>
      </c>
      <c r="E16" s="26">
        <f t="shared" si="0"/>
        <v>0.02</v>
      </c>
      <c r="F16" s="26">
        <f t="shared" si="0"/>
        <v>0.025</v>
      </c>
      <c r="G16" s="26">
        <f t="shared" si="0"/>
        <v>0.030000000000000002</v>
      </c>
      <c r="H16" s="26">
        <f t="shared" si="0"/>
        <v>0.035</v>
      </c>
      <c r="I16" s="26">
        <f t="shared" si="0"/>
        <v>0.04</v>
      </c>
      <c r="J16" s="26">
        <f t="shared" si="0"/>
        <v>0.045</v>
      </c>
      <c r="K16" s="26">
        <f t="shared" si="0"/>
        <v>0.049999999999999996</v>
      </c>
      <c r="L16" s="26">
        <f t="shared" si="0"/>
        <v>0.05499999999999999</v>
      </c>
      <c r="M16" s="26">
        <f t="shared" si="0"/>
        <v>0.05999999999999999</v>
      </c>
      <c r="N16" s="26">
        <f t="shared" si="0"/>
        <v>0.06499999999999999</v>
      </c>
      <c r="O16" s="26">
        <f t="shared" si="0"/>
        <v>0.06999999999999999</v>
      </c>
      <c r="P16" s="26">
        <f t="shared" si="0"/>
        <v>0.075</v>
      </c>
      <c r="Q16" s="26">
        <f t="shared" si="0"/>
        <v>0.08</v>
      </c>
      <c r="R16" s="26">
        <f t="shared" si="0"/>
        <v>0.085</v>
      </c>
      <c r="S16" s="26">
        <f t="shared" si="0"/>
        <v>0.09000000000000001</v>
      </c>
      <c r="T16" s="26">
        <f t="shared" si="0"/>
        <v>0.09500000000000001</v>
      </c>
      <c r="U16" s="26">
        <f t="shared" si="0"/>
        <v>0.10000000000000002</v>
      </c>
      <c r="V16" s="26">
        <f t="shared" si="0"/>
        <v>0.10500000000000002</v>
      </c>
      <c r="W16" s="26">
        <f>V16+$M$13</f>
        <v>0.11000000000000003</v>
      </c>
      <c r="X16" s="17"/>
    </row>
    <row r="17" spans="1:24" ht="15">
      <c r="A17" s="25" t="s">
        <v>29</v>
      </c>
      <c r="B17" s="26">
        <f>M7</f>
        <v>0.0275</v>
      </c>
      <c r="C17" s="26">
        <f aca="true" t="shared" si="1" ref="C17:R19">B17+$M$13</f>
        <v>0.0325</v>
      </c>
      <c r="D17" s="26">
        <f t="shared" si="1"/>
        <v>0.0375</v>
      </c>
      <c r="E17" s="26">
        <f t="shared" si="1"/>
        <v>0.042499999999999996</v>
      </c>
      <c r="F17" s="26">
        <f t="shared" si="1"/>
        <v>0.047499999999999994</v>
      </c>
      <c r="G17" s="26">
        <f t="shared" si="1"/>
        <v>0.05249999999999999</v>
      </c>
      <c r="H17" s="26">
        <f t="shared" si="1"/>
        <v>0.05749999999999999</v>
      </c>
      <c r="I17" s="26">
        <f t="shared" si="1"/>
        <v>0.062499999999999986</v>
      </c>
      <c r="J17" s="26">
        <f t="shared" si="1"/>
        <v>0.06749999999999999</v>
      </c>
      <c r="K17" s="26">
        <f t="shared" si="1"/>
        <v>0.0725</v>
      </c>
      <c r="L17" s="26">
        <f t="shared" si="1"/>
        <v>0.0775</v>
      </c>
      <c r="M17" s="26">
        <f t="shared" si="1"/>
        <v>0.0825</v>
      </c>
      <c r="N17" s="26">
        <f t="shared" si="1"/>
        <v>0.08750000000000001</v>
      </c>
      <c r="O17" s="26">
        <f t="shared" si="1"/>
        <v>0.09250000000000001</v>
      </c>
      <c r="P17" s="26">
        <f t="shared" si="1"/>
        <v>0.09750000000000002</v>
      </c>
      <c r="Q17" s="26">
        <f t="shared" si="1"/>
        <v>0.10250000000000002</v>
      </c>
      <c r="R17" s="26">
        <f t="shared" si="1"/>
        <v>0.10750000000000003</v>
      </c>
      <c r="S17" s="26">
        <f>R17+$M$13</f>
        <v>0.11250000000000003</v>
      </c>
      <c r="T17" s="26">
        <f>S17+$M$13</f>
        <v>0.11750000000000003</v>
      </c>
      <c r="U17" s="26">
        <f>T17+$M$13</f>
        <v>0.12250000000000004</v>
      </c>
      <c r="V17" s="26">
        <f>U17+$M$13</f>
        <v>0.12750000000000003</v>
      </c>
      <c r="W17" s="26">
        <f>V17+$M$13</f>
        <v>0.13250000000000003</v>
      </c>
      <c r="X17" s="17"/>
    </row>
    <row r="18" spans="1:24" ht="15">
      <c r="A18" s="25" t="s">
        <v>36</v>
      </c>
      <c r="B18" s="26">
        <f>(B17+B19)/2</f>
        <v>0.03075</v>
      </c>
      <c r="C18" s="26">
        <f aca="true" t="shared" si="2" ref="C18:W18">(C17+C19)/2</f>
        <v>0.035750000000000004</v>
      </c>
      <c r="D18" s="26">
        <f t="shared" si="2"/>
        <v>0.040749999999999995</v>
      </c>
      <c r="E18" s="26">
        <f t="shared" si="2"/>
        <v>0.04575</v>
      </c>
      <c r="F18" s="26">
        <f t="shared" si="2"/>
        <v>0.05074999999999999</v>
      </c>
      <c r="G18" s="26">
        <f t="shared" si="2"/>
        <v>0.055749999999999994</v>
      </c>
      <c r="H18" s="26">
        <f t="shared" si="2"/>
        <v>0.060749999999999985</v>
      </c>
      <c r="I18" s="26">
        <f t="shared" si="2"/>
        <v>0.06574999999999999</v>
      </c>
      <c r="J18" s="26">
        <f t="shared" si="2"/>
        <v>0.07075</v>
      </c>
      <c r="K18" s="26">
        <f t="shared" si="2"/>
        <v>0.07575</v>
      </c>
      <c r="L18" s="26">
        <f t="shared" si="2"/>
        <v>0.08075</v>
      </c>
      <c r="M18" s="26">
        <f t="shared" si="2"/>
        <v>0.08575</v>
      </c>
      <c r="N18" s="26">
        <f t="shared" si="2"/>
        <v>0.09075000000000001</v>
      </c>
      <c r="O18" s="26">
        <f t="shared" si="2"/>
        <v>0.09575000000000002</v>
      </c>
      <c r="P18" s="26">
        <f t="shared" si="2"/>
        <v>0.10075000000000002</v>
      </c>
      <c r="Q18" s="26">
        <f t="shared" si="2"/>
        <v>0.10575000000000002</v>
      </c>
      <c r="R18" s="26">
        <f t="shared" si="2"/>
        <v>0.11075000000000003</v>
      </c>
      <c r="S18" s="26">
        <f t="shared" si="2"/>
        <v>0.11575000000000003</v>
      </c>
      <c r="T18" s="26">
        <f t="shared" si="2"/>
        <v>0.12075000000000004</v>
      </c>
      <c r="U18" s="26">
        <f t="shared" si="2"/>
        <v>0.12575000000000003</v>
      </c>
      <c r="V18" s="26">
        <f t="shared" si="2"/>
        <v>0.13075000000000003</v>
      </c>
      <c r="W18" s="26">
        <f t="shared" si="2"/>
        <v>0.13575000000000004</v>
      </c>
      <c r="X18" s="17"/>
    </row>
    <row r="19" spans="1:24" ht="15">
      <c r="A19" s="25" t="s">
        <v>28</v>
      </c>
      <c r="B19" s="26">
        <f>M8</f>
        <v>0.034</v>
      </c>
      <c r="C19" s="26">
        <f t="shared" si="1"/>
        <v>0.039</v>
      </c>
      <c r="D19" s="26">
        <f t="shared" si="1"/>
        <v>0.044</v>
      </c>
      <c r="E19" s="26">
        <f t="shared" si="1"/>
        <v>0.048999999999999995</v>
      </c>
      <c r="F19" s="26">
        <f t="shared" si="1"/>
        <v>0.05399999999999999</v>
      </c>
      <c r="G19" s="26">
        <f t="shared" si="1"/>
        <v>0.05899999999999999</v>
      </c>
      <c r="H19" s="26">
        <f t="shared" si="1"/>
        <v>0.06399999999999999</v>
      </c>
      <c r="I19" s="26">
        <f t="shared" si="1"/>
        <v>0.06899999999999999</v>
      </c>
      <c r="J19" s="26">
        <f t="shared" si="1"/>
        <v>0.074</v>
      </c>
      <c r="K19" s="26">
        <f t="shared" si="1"/>
        <v>0.079</v>
      </c>
      <c r="L19" s="26">
        <f t="shared" si="1"/>
        <v>0.084</v>
      </c>
      <c r="M19" s="26">
        <f t="shared" si="1"/>
        <v>0.08900000000000001</v>
      </c>
      <c r="N19" s="26">
        <f t="shared" si="1"/>
        <v>0.09400000000000001</v>
      </c>
      <c r="O19" s="26">
        <f t="shared" si="1"/>
        <v>0.09900000000000002</v>
      </c>
      <c r="P19" s="26">
        <f t="shared" si="1"/>
        <v>0.10400000000000002</v>
      </c>
      <c r="Q19" s="26">
        <f t="shared" si="1"/>
        <v>0.10900000000000003</v>
      </c>
      <c r="R19" s="26">
        <f t="shared" si="1"/>
        <v>0.11400000000000003</v>
      </c>
      <c r="S19" s="26">
        <f>R19+$M$13</f>
        <v>0.11900000000000004</v>
      </c>
      <c r="T19" s="26">
        <f>S19+$M$13</f>
        <v>0.12400000000000004</v>
      </c>
      <c r="U19" s="26">
        <f>T19+$M$13</f>
        <v>0.12900000000000003</v>
      </c>
      <c r="V19" s="26">
        <f>U19+$M$13</f>
        <v>0.13400000000000004</v>
      </c>
      <c r="W19" s="26">
        <f>V19+$M$13</f>
        <v>0.13900000000000004</v>
      </c>
      <c r="X19" s="17"/>
    </row>
    <row r="20" spans="1:24" ht="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7"/>
    </row>
    <row r="21" spans="1:24" s="9" customFormat="1" ht="15">
      <c r="A21" s="30" t="s">
        <v>37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5">
      <c r="A22" s="19" t="s">
        <v>25</v>
      </c>
      <c r="B22" s="19">
        <v>0</v>
      </c>
      <c r="C22" s="19">
        <f>0.25*$M$4</f>
        <v>267500</v>
      </c>
      <c r="D22" s="19">
        <f>0.5*$M$4</f>
        <v>535000</v>
      </c>
      <c r="E22" s="19">
        <f>0.25*$M$4</f>
        <v>267500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ht="15">
      <c r="A23" s="19" t="s">
        <v>26</v>
      </c>
      <c r="B23" s="19">
        <v>0</v>
      </c>
      <c r="C23" s="19">
        <f>C22</f>
        <v>267500</v>
      </c>
      <c r="D23" s="19">
        <f>C22+D22</f>
        <v>802500</v>
      </c>
      <c r="E23" s="19">
        <f>C22+D22+E22</f>
        <v>1070000</v>
      </c>
      <c r="F23" s="19">
        <f aca="true" t="shared" si="3" ref="F23:V23">E23-$E$23/18</f>
        <v>1010555.5555555555</v>
      </c>
      <c r="G23" s="19">
        <f t="shared" si="3"/>
        <v>951111.111111111</v>
      </c>
      <c r="H23" s="19">
        <f t="shared" si="3"/>
        <v>891666.6666666665</v>
      </c>
      <c r="I23" s="19">
        <f t="shared" si="3"/>
        <v>832222.222222222</v>
      </c>
      <c r="J23" s="19">
        <f t="shared" si="3"/>
        <v>772777.7777777775</v>
      </c>
      <c r="K23" s="19">
        <f t="shared" si="3"/>
        <v>713333.333333333</v>
      </c>
      <c r="L23" s="19">
        <f t="shared" si="3"/>
        <v>653888.8888888885</v>
      </c>
      <c r="M23" s="19">
        <f t="shared" si="3"/>
        <v>594444.444444444</v>
      </c>
      <c r="N23" s="19">
        <f t="shared" si="3"/>
        <v>534999.9999999995</v>
      </c>
      <c r="O23" s="19">
        <f t="shared" si="3"/>
        <v>475555.5555555551</v>
      </c>
      <c r="P23" s="19">
        <f t="shared" si="3"/>
        <v>416111.11111111066</v>
      </c>
      <c r="Q23" s="19">
        <f t="shared" si="3"/>
        <v>356666.6666666662</v>
      </c>
      <c r="R23" s="19">
        <f t="shared" si="3"/>
        <v>297222.2222222218</v>
      </c>
      <c r="S23" s="19">
        <f t="shared" si="3"/>
        <v>237777.77777777734</v>
      </c>
      <c r="T23" s="19">
        <f t="shared" si="3"/>
        <v>178333.3333333329</v>
      </c>
      <c r="U23" s="19">
        <f t="shared" si="3"/>
        <v>118888.88888888847</v>
      </c>
      <c r="V23" s="19">
        <f t="shared" si="3"/>
        <v>59444.44444444402</v>
      </c>
      <c r="W23" s="19">
        <f>V23-$E$23/18</f>
        <v>-4.220055416226387E-10</v>
      </c>
      <c r="X23" s="19"/>
    </row>
    <row r="24" spans="1:24" ht="15">
      <c r="A24" s="19" t="s">
        <v>31</v>
      </c>
      <c r="B24" s="19">
        <v>0</v>
      </c>
      <c r="C24" s="19">
        <f>$B$16*B23</f>
        <v>0</v>
      </c>
      <c r="D24" s="19">
        <f>C23*$C$16</f>
        <v>2675</v>
      </c>
      <c r="E24" s="19">
        <f>D23*$D$16</f>
        <v>12037.5</v>
      </c>
      <c r="F24" s="19">
        <f>E23*$E$16</f>
        <v>21400</v>
      </c>
      <c r="G24" s="19">
        <f aca="true" t="shared" si="4" ref="G24:V24">F23*F16</f>
        <v>25263.88888888889</v>
      </c>
      <c r="H24" s="19">
        <f t="shared" si="4"/>
        <v>28533.333333333332</v>
      </c>
      <c r="I24" s="19">
        <f t="shared" si="4"/>
        <v>31208.333333333332</v>
      </c>
      <c r="J24" s="19">
        <f t="shared" si="4"/>
        <v>33288.88888888888</v>
      </c>
      <c r="K24" s="19">
        <f t="shared" si="4"/>
        <v>34774.999999999985</v>
      </c>
      <c r="L24" s="19">
        <f t="shared" si="4"/>
        <v>35666.66666666665</v>
      </c>
      <c r="M24" s="19">
        <f t="shared" si="4"/>
        <v>35963.88888888886</v>
      </c>
      <c r="N24" s="19">
        <f t="shared" si="4"/>
        <v>35666.666666666635</v>
      </c>
      <c r="O24" s="19">
        <f t="shared" si="4"/>
        <v>34774.99999999996</v>
      </c>
      <c r="P24" s="19">
        <f t="shared" si="4"/>
        <v>33288.888888888854</v>
      </c>
      <c r="Q24" s="19">
        <f t="shared" si="4"/>
        <v>31208.3333333333</v>
      </c>
      <c r="R24" s="19">
        <f t="shared" si="4"/>
        <v>28533.3333333333</v>
      </c>
      <c r="S24" s="19">
        <f t="shared" si="4"/>
        <v>25263.888888888854</v>
      </c>
      <c r="T24" s="19">
        <f t="shared" si="4"/>
        <v>21399.999999999964</v>
      </c>
      <c r="U24" s="19">
        <f t="shared" si="4"/>
        <v>16941.666666666628</v>
      </c>
      <c r="V24" s="19">
        <f t="shared" si="4"/>
        <v>11888.888888888849</v>
      </c>
      <c r="W24" s="19">
        <f>V23*V16</f>
        <v>6241.666666666624</v>
      </c>
      <c r="X24" s="19">
        <f>SUM(B24:W24)</f>
        <v>506020.83333333296</v>
      </c>
    </row>
    <row r="25" spans="1:24" ht="15">
      <c r="A25" s="19" t="s">
        <v>32</v>
      </c>
      <c r="B25" s="19">
        <v>0</v>
      </c>
      <c r="C25" s="19">
        <v>0</v>
      </c>
      <c r="D25" s="19">
        <v>0</v>
      </c>
      <c r="E25" s="19"/>
      <c r="F25" s="19">
        <f aca="true" t="shared" si="5" ref="F25:W25">$E$23/18</f>
        <v>59444.444444444445</v>
      </c>
      <c r="G25" s="19">
        <f t="shared" si="5"/>
        <v>59444.444444444445</v>
      </c>
      <c r="H25" s="19">
        <f t="shared" si="5"/>
        <v>59444.444444444445</v>
      </c>
      <c r="I25" s="19">
        <f t="shared" si="5"/>
        <v>59444.444444444445</v>
      </c>
      <c r="J25" s="19">
        <f t="shared" si="5"/>
        <v>59444.444444444445</v>
      </c>
      <c r="K25" s="19">
        <f t="shared" si="5"/>
        <v>59444.444444444445</v>
      </c>
      <c r="L25" s="19">
        <f t="shared" si="5"/>
        <v>59444.444444444445</v>
      </c>
      <c r="M25" s="19">
        <f t="shared" si="5"/>
        <v>59444.444444444445</v>
      </c>
      <c r="N25" s="19">
        <f t="shared" si="5"/>
        <v>59444.444444444445</v>
      </c>
      <c r="O25" s="19">
        <f t="shared" si="5"/>
        <v>59444.444444444445</v>
      </c>
      <c r="P25" s="19">
        <f t="shared" si="5"/>
        <v>59444.444444444445</v>
      </c>
      <c r="Q25" s="19">
        <f t="shared" si="5"/>
        <v>59444.444444444445</v>
      </c>
      <c r="R25" s="19">
        <f t="shared" si="5"/>
        <v>59444.444444444445</v>
      </c>
      <c r="S25" s="19">
        <f t="shared" si="5"/>
        <v>59444.444444444445</v>
      </c>
      <c r="T25" s="19">
        <f t="shared" si="5"/>
        <v>59444.444444444445</v>
      </c>
      <c r="U25" s="19">
        <f t="shared" si="5"/>
        <v>59444.444444444445</v>
      </c>
      <c r="V25" s="19">
        <f t="shared" si="5"/>
        <v>59444.444444444445</v>
      </c>
      <c r="W25" s="19">
        <f t="shared" si="5"/>
        <v>59444.444444444445</v>
      </c>
      <c r="X25" s="19">
        <f>SUM(B25:W25)</f>
        <v>1070000.0000000005</v>
      </c>
    </row>
    <row r="26" spans="1:24" ht="15">
      <c r="A26" s="19" t="s">
        <v>27</v>
      </c>
      <c r="B26" s="19">
        <v>0</v>
      </c>
      <c r="C26" s="19">
        <f>C24+C25</f>
        <v>0</v>
      </c>
      <c r="D26" s="19">
        <f aca="true" t="shared" si="6" ref="D26:W26">D24+D25</f>
        <v>2675</v>
      </c>
      <c r="E26" s="19">
        <f t="shared" si="6"/>
        <v>12037.5</v>
      </c>
      <c r="F26" s="19">
        <f t="shared" si="6"/>
        <v>80844.44444444444</v>
      </c>
      <c r="G26" s="19">
        <f t="shared" si="6"/>
        <v>84708.33333333334</v>
      </c>
      <c r="H26" s="19">
        <f t="shared" si="6"/>
        <v>87977.77777777778</v>
      </c>
      <c r="I26" s="19">
        <f t="shared" si="6"/>
        <v>90652.77777777778</v>
      </c>
      <c r="J26" s="19">
        <f t="shared" si="6"/>
        <v>92733.33333333333</v>
      </c>
      <c r="K26" s="19">
        <f t="shared" si="6"/>
        <v>94219.44444444444</v>
      </c>
      <c r="L26" s="19">
        <f t="shared" si="6"/>
        <v>95111.1111111111</v>
      </c>
      <c r="M26" s="19">
        <f t="shared" si="6"/>
        <v>95408.33333333331</v>
      </c>
      <c r="N26" s="19">
        <f t="shared" si="6"/>
        <v>95111.11111111108</v>
      </c>
      <c r="O26" s="19">
        <f t="shared" si="6"/>
        <v>94219.44444444441</v>
      </c>
      <c r="P26" s="19">
        <f t="shared" si="6"/>
        <v>92733.3333333333</v>
      </c>
      <c r="Q26" s="19">
        <f t="shared" si="6"/>
        <v>90652.77777777775</v>
      </c>
      <c r="R26" s="19">
        <f t="shared" si="6"/>
        <v>87977.77777777775</v>
      </c>
      <c r="S26" s="19">
        <f t="shared" si="6"/>
        <v>84708.3333333333</v>
      </c>
      <c r="T26" s="19">
        <f t="shared" si="6"/>
        <v>80844.44444444441</v>
      </c>
      <c r="U26" s="19">
        <f t="shared" si="6"/>
        <v>76386.11111111107</v>
      </c>
      <c r="V26" s="19">
        <f t="shared" si="6"/>
        <v>71333.3333333333</v>
      </c>
      <c r="W26" s="19">
        <f t="shared" si="6"/>
        <v>65686.11111111107</v>
      </c>
      <c r="X26" s="20">
        <f>SUM(B26:W26)</f>
        <v>1576020.8333333328</v>
      </c>
    </row>
    <row r="27" spans="1:24" ht="15">
      <c r="A27" s="19" t="s">
        <v>33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f>SUM(F27:V27)</f>
        <v>0</v>
      </c>
    </row>
    <row r="28" spans="1:24" ht="15">
      <c r="A28" s="19" t="s">
        <v>34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f>SUM(F28:V28)</f>
        <v>0</v>
      </c>
    </row>
    <row r="29" spans="1:24" s="9" customFormat="1" ht="15">
      <c r="A29" s="20" t="s">
        <v>24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f>SUM(X26:X28)</f>
        <v>1576020.8333333328</v>
      </c>
    </row>
    <row r="30" spans="1:24" s="9" customFormat="1" ht="15">
      <c r="A30" s="28" t="s">
        <v>79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5">
      <c r="A31" s="19" t="s">
        <v>25</v>
      </c>
      <c r="B31" s="19">
        <v>0</v>
      </c>
      <c r="C31" s="19">
        <f>0.25*$M$4</f>
        <v>267500</v>
      </c>
      <c r="D31" s="19">
        <f>0.5*$M$4</f>
        <v>535000</v>
      </c>
      <c r="E31" s="19">
        <f>0.25*$M$4</f>
        <v>267500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">
      <c r="A32" s="19" t="s">
        <v>26</v>
      </c>
      <c r="B32" s="19">
        <v>0</v>
      </c>
      <c r="C32" s="19">
        <f>C31</f>
        <v>267500</v>
      </c>
      <c r="D32" s="19">
        <f>C31+D31</f>
        <v>802500</v>
      </c>
      <c r="E32" s="19">
        <f>C31+D31+E31</f>
        <v>1070000</v>
      </c>
      <c r="F32" s="19">
        <f>E32-0.04*E32</f>
        <v>1027200</v>
      </c>
      <c r="G32" s="19">
        <f>F32-F32*0.04</f>
        <v>986112</v>
      </c>
      <c r="H32" s="19">
        <f>G32-G32*0.04</f>
        <v>946667.52</v>
      </c>
      <c r="I32" s="19">
        <f>H32-I34</f>
        <v>906227.8504005655</v>
      </c>
      <c r="J32" s="19">
        <f aca="true" t="shared" si="7" ref="J32:W32">I32-J34</f>
        <v>863331.4708729654</v>
      </c>
      <c r="K32" s="19">
        <f t="shared" si="7"/>
        <v>817829.1362890635</v>
      </c>
      <c r="L32" s="19">
        <f t="shared" si="7"/>
        <v>769562.5348791896</v>
      </c>
      <c r="M32" s="19">
        <f t="shared" si="7"/>
        <v>718363.7374336658</v>
      </c>
      <c r="N32" s="19">
        <f t="shared" si="7"/>
        <v>664054.6130433264</v>
      </c>
      <c r="O32" s="19">
        <f t="shared" si="7"/>
        <v>606446.209346274</v>
      </c>
      <c r="P32" s="19">
        <f t="shared" si="7"/>
        <v>545338.0951246256</v>
      </c>
      <c r="Q32" s="19">
        <f t="shared" si="7"/>
        <v>480517.66296401207</v>
      </c>
      <c r="R32" s="19">
        <f t="shared" si="7"/>
        <v>411759.3895496413</v>
      </c>
      <c r="S32" s="19">
        <f t="shared" si="7"/>
        <v>338824.0510253475</v>
      </c>
      <c r="T32" s="19">
        <f t="shared" si="7"/>
        <v>261457.89068570285</v>
      </c>
      <c r="U32" s="19">
        <f t="shared" si="7"/>
        <v>179391.7361054248</v>
      </c>
      <c r="V32" s="19">
        <f t="shared" si="7"/>
        <v>92340.06263439484</v>
      </c>
      <c r="W32" s="19">
        <f t="shared" si="7"/>
        <v>-1.7462298274040222E-10</v>
      </c>
      <c r="X32" s="19"/>
    </row>
    <row r="33" spans="1:24" ht="15">
      <c r="A33" s="19" t="s">
        <v>31</v>
      </c>
      <c r="B33" s="19">
        <v>0</v>
      </c>
      <c r="C33" s="19">
        <f>$B$16*B32</f>
        <v>0</v>
      </c>
      <c r="D33" s="19">
        <f>C32*$C$16</f>
        <v>2675</v>
      </c>
      <c r="E33" s="19">
        <f>D32*$D$16</f>
        <v>12037.5</v>
      </c>
      <c r="F33" s="19">
        <f>E32*E16</f>
        <v>21400</v>
      </c>
      <c r="G33" s="19">
        <f>F32*F16</f>
        <v>25680</v>
      </c>
      <c r="H33" s="19">
        <f>G32*G16</f>
        <v>29583.36</v>
      </c>
      <c r="I33" s="19">
        <f>IPMT(H18,1,15,H32)*-1</f>
        <v>57510.051839999986</v>
      </c>
      <c r="J33" s="19">
        <f>IPMT(H18,2,15,H32)*-1</f>
        <v>55053.34191183434</v>
      </c>
      <c r="K33" s="19">
        <f>IPMT(H18,3,15,H32)*-1</f>
        <v>52447.386855532626</v>
      </c>
      <c r="L33" s="19">
        <f>IPMT(H18,4,15,H32)*-1</f>
        <v>49683.12002956059</v>
      </c>
      <c r="M33" s="19">
        <f>IPMT(H18,5,15,H32)*-1</f>
        <v>46750.92399391075</v>
      </c>
      <c r="N33" s="19">
        <f>IPMT(H18,6,15,H32)*-1</f>
        <v>43640.59704909519</v>
      </c>
      <c r="O33" s="19">
        <f>IPMT(H18,7,15,H32)*-1</f>
        <v>40341.31774238207</v>
      </c>
      <c r="P33" s="19">
        <f>IPMT(H18,8,15,H32)*-1</f>
        <v>36841.607217786135</v>
      </c>
      <c r="Q33" s="19">
        <f>IPMT(H18,9,15,H32)*-1</f>
        <v>33129.289278820994</v>
      </c>
      <c r="R33" s="19">
        <f>IPMT(H18,10,15,H32)*-1</f>
        <v>29191.44802506373</v>
      </c>
      <c r="S33" s="19">
        <f>IPMT(H18,11,15,H32)*-1</f>
        <v>25014.382915140708</v>
      </c>
      <c r="T33" s="19">
        <f>IPMT(H18,12,15,H32)*-1</f>
        <v>20583.561099789862</v>
      </c>
      <c r="U33" s="19">
        <f>IPMT(H18,13,15,H32)*-1</f>
        <v>15883.566859156454</v>
      </c>
      <c r="V33" s="19">
        <f>IPMT(H18,14,15,H32)*-1</f>
        <v>10898.047968404562</v>
      </c>
      <c r="W33" s="19">
        <f>IPMT(H18,15,15,H32)*-1</f>
        <v>5609.658805039496</v>
      </c>
      <c r="X33" s="19">
        <f>SUM(F33:W33)</f>
        <v>599241.6615915176</v>
      </c>
    </row>
    <row r="34" spans="1:24" ht="15">
      <c r="A34" s="19" t="s">
        <v>32</v>
      </c>
      <c r="B34" s="19">
        <v>0</v>
      </c>
      <c r="C34" s="19"/>
      <c r="D34" s="19"/>
      <c r="E34" s="19"/>
      <c r="F34" s="19">
        <f>E32*0.04</f>
        <v>42800</v>
      </c>
      <c r="G34" s="19">
        <f>F32*0.04</f>
        <v>41088</v>
      </c>
      <c r="H34" s="19">
        <f>G32*0.04</f>
        <v>39444.48</v>
      </c>
      <c r="I34" s="19">
        <f>(PMT($H$18,15,$H$32)*-1)-I33</f>
        <v>40439.66959943452</v>
      </c>
      <c r="J34" s="19">
        <f aca="true" t="shared" si="8" ref="J34:W34">(PMT($H$18,15,$H$32)*-1)-J33</f>
        <v>42896.37952760017</v>
      </c>
      <c r="K34" s="19">
        <f t="shared" si="8"/>
        <v>45502.33458390188</v>
      </c>
      <c r="L34" s="19">
        <f t="shared" si="8"/>
        <v>48266.60140987392</v>
      </c>
      <c r="M34" s="19">
        <f t="shared" si="8"/>
        <v>51198.797445523756</v>
      </c>
      <c r="N34" s="19">
        <f t="shared" si="8"/>
        <v>54309.12439033932</v>
      </c>
      <c r="O34" s="19">
        <f t="shared" si="8"/>
        <v>57608.40369705244</v>
      </c>
      <c r="P34" s="19">
        <f t="shared" si="8"/>
        <v>61108.11422164837</v>
      </c>
      <c r="Q34" s="19">
        <f t="shared" si="8"/>
        <v>64820.43216061351</v>
      </c>
      <c r="R34" s="19">
        <f t="shared" si="8"/>
        <v>68758.27341437078</v>
      </c>
      <c r="S34" s="19">
        <f t="shared" si="8"/>
        <v>72935.3385242938</v>
      </c>
      <c r="T34" s="19">
        <f t="shared" si="8"/>
        <v>77366.16033964464</v>
      </c>
      <c r="U34" s="19">
        <f t="shared" si="8"/>
        <v>82066.15458027806</v>
      </c>
      <c r="V34" s="19">
        <f t="shared" si="8"/>
        <v>87051.67347102995</v>
      </c>
      <c r="W34" s="19">
        <f t="shared" si="8"/>
        <v>92340.06263439501</v>
      </c>
      <c r="X34" s="19">
        <f>SUM(F34:W34)</f>
        <v>1070000.0000000002</v>
      </c>
    </row>
    <row r="35" spans="1:24" ht="15">
      <c r="A35" s="19" t="s">
        <v>27</v>
      </c>
      <c r="B35" s="19">
        <v>0</v>
      </c>
      <c r="C35" s="19">
        <f aca="true" t="shared" si="9" ref="C35:W35">C33+C34</f>
        <v>0</v>
      </c>
      <c r="D35" s="19">
        <f t="shared" si="9"/>
        <v>2675</v>
      </c>
      <c r="E35" s="19">
        <f t="shared" si="9"/>
        <v>12037.5</v>
      </c>
      <c r="F35" s="19">
        <f t="shared" si="9"/>
        <v>64200</v>
      </c>
      <c r="G35" s="19">
        <f t="shared" si="9"/>
        <v>66768</v>
      </c>
      <c r="H35" s="19">
        <f t="shared" si="9"/>
        <v>69027.84</v>
      </c>
      <c r="I35" s="19">
        <f t="shared" si="9"/>
        <v>97949.7214394345</v>
      </c>
      <c r="J35" s="19">
        <f t="shared" si="9"/>
        <v>97949.7214394345</v>
      </c>
      <c r="K35" s="19">
        <f t="shared" si="9"/>
        <v>97949.7214394345</v>
      </c>
      <c r="L35" s="19">
        <f t="shared" si="9"/>
        <v>97949.7214394345</v>
      </c>
      <c r="M35" s="19">
        <f t="shared" si="9"/>
        <v>97949.7214394345</v>
      </c>
      <c r="N35" s="19">
        <f t="shared" si="9"/>
        <v>97949.7214394345</v>
      </c>
      <c r="O35" s="19">
        <f t="shared" si="9"/>
        <v>97949.7214394345</v>
      </c>
      <c r="P35" s="19">
        <f t="shared" si="9"/>
        <v>97949.7214394345</v>
      </c>
      <c r="Q35" s="19">
        <f t="shared" si="9"/>
        <v>97949.7214394345</v>
      </c>
      <c r="R35" s="19">
        <f t="shared" si="9"/>
        <v>97949.7214394345</v>
      </c>
      <c r="S35" s="19">
        <f t="shared" si="9"/>
        <v>97949.7214394345</v>
      </c>
      <c r="T35" s="19">
        <f t="shared" si="9"/>
        <v>97949.7214394345</v>
      </c>
      <c r="U35" s="19">
        <f t="shared" si="9"/>
        <v>97949.7214394345</v>
      </c>
      <c r="V35" s="19">
        <f t="shared" si="9"/>
        <v>97949.7214394345</v>
      </c>
      <c r="W35" s="19">
        <f t="shared" si="9"/>
        <v>97949.7214394345</v>
      </c>
      <c r="X35" s="20">
        <f>SUM(F35:W35)</f>
        <v>1669241.661591517</v>
      </c>
    </row>
    <row r="36" spans="1:24" ht="15">
      <c r="A36" s="19" t="s">
        <v>33</v>
      </c>
      <c r="B36" s="19">
        <v>0</v>
      </c>
      <c r="C36" s="19"/>
      <c r="D36" s="19"/>
      <c r="E36" s="19"/>
      <c r="F36" s="19"/>
      <c r="G36" s="19"/>
      <c r="H36" s="19">
        <f>H32*$M$9+$M$10+H32*$M$11</f>
        <v>53064.011776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>
        <f>SUM(F36:V36)</f>
        <v>53064.011776</v>
      </c>
    </row>
    <row r="37" spans="1:24" ht="15">
      <c r="A37" s="19" t="s">
        <v>34</v>
      </c>
      <c r="B37" s="19">
        <v>0</v>
      </c>
      <c r="C37" s="19"/>
      <c r="D37" s="19"/>
      <c r="E37" s="19">
        <f>$M$12</f>
        <v>15000</v>
      </c>
      <c r="F37" s="19">
        <f>$M$12</f>
        <v>15000</v>
      </c>
      <c r="G37" s="19">
        <f>$M$12</f>
        <v>15000</v>
      </c>
      <c r="H37" s="19">
        <f>$M$12</f>
        <v>15000</v>
      </c>
      <c r="I37" s="19">
        <f aca="true" t="shared" si="10" ref="I37:W37">$M$12</f>
        <v>15000</v>
      </c>
      <c r="J37" s="19">
        <f t="shared" si="10"/>
        <v>15000</v>
      </c>
      <c r="K37" s="19">
        <f t="shared" si="10"/>
        <v>15000</v>
      </c>
      <c r="L37" s="19">
        <f t="shared" si="10"/>
        <v>15000</v>
      </c>
      <c r="M37" s="19">
        <f t="shared" si="10"/>
        <v>15000</v>
      </c>
      <c r="N37" s="19">
        <f t="shared" si="10"/>
        <v>15000</v>
      </c>
      <c r="O37" s="19">
        <f t="shared" si="10"/>
        <v>15000</v>
      </c>
      <c r="P37" s="19">
        <f t="shared" si="10"/>
        <v>15000</v>
      </c>
      <c r="Q37" s="19">
        <f t="shared" si="10"/>
        <v>15000</v>
      </c>
      <c r="R37" s="19">
        <f t="shared" si="10"/>
        <v>15000</v>
      </c>
      <c r="S37" s="19">
        <f t="shared" si="10"/>
        <v>15000</v>
      </c>
      <c r="T37" s="19">
        <f t="shared" si="10"/>
        <v>15000</v>
      </c>
      <c r="U37" s="19">
        <f t="shared" si="10"/>
        <v>15000</v>
      </c>
      <c r="V37" s="19">
        <f t="shared" si="10"/>
        <v>15000</v>
      </c>
      <c r="W37" s="19">
        <f t="shared" si="10"/>
        <v>15000</v>
      </c>
      <c r="X37" s="19">
        <f>SUM(B37:W37)</f>
        <v>285000</v>
      </c>
    </row>
    <row r="38" spans="1:24" s="9" customFormat="1" ht="15">
      <c r="A38" s="20" t="s">
        <v>24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f>SUM(X35:X37)</f>
        <v>2007305.673367517</v>
      </c>
    </row>
    <row r="39" spans="1:24" s="9" customFormat="1" ht="15">
      <c r="A39" s="28" t="s">
        <v>78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s="9" customFormat="1" ht="15">
      <c r="A40" s="19" t="s">
        <v>25</v>
      </c>
      <c r="B40" s="19">
        <v>0</v>
      </c>
      <c r="C40" s="19">
        <f>0.25*$M$4</f>
        <v>267500</v>
      </c>
      <c r="D40" s="19">
        <f>0.5*$M$4</f>
        <v>535000</v>
      </c>
      <c r="E40" s="19">
        <f>0.25*$M$4</f>
        <v>267500</v>
      </c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s="9" customFormat="1" ht="15">
      <c r="A41" s="19" t="s">
        <v>26</v>
      </c>
      <c r="B41" s="19">
        <v>0</v>
      </c>
      <c r="C41" s="19">
        <f>C40</f>
        <v>267500</v>
      </c>
      <c r="D41" s="19">
        <f>C40+D40</f>
        <v>802500</v>
      </c>
      <c r="E41" s="19">
        <f>C40+D40+E40</f>
        <v>1070000</v>
      </c>
      <c r="F41" s="19">
        <f>E41-0.04*E41</f>
        <v>1027200</v>
      </c>
      <c r="G41" s="19">
        <f>F41-F41*0.04</f>
        <v>986112</v>
      </c>
      <c r="H41" s="19">
        <f>G41-G41*0.04</f>
        <v>946667.52</v>
      </c>
      <c r="I41" s="19">
        <f>H41-I43</f>
        <v>883556.3520000001</v>
      </c>
      <c r="J41" s="19">
        <f aca="true" t="shared" si="11" ref="J41:W41">I41-J43</f>
        <v>820445.1840000001</v>
      </c>
      <c r="K41" s="19">
        <f t="shared" si="11"/>
        <v>757334.0160000002</v>
      </c>
      <c r="L41" s="19">
        <f t="shared" si="11"/>
        <v>694222.8480000002</v>
      </c>
      <c r="M41" s="19">
        <f t="shared" si="11"/>
        <v>631111.6800000003</v>
      </c>
      <c r="N41" s="19">
        <f t="shared" si="11"/>
        <v>568000.5120000003</v>
      </c>
      <c r="O41" s="19">
        <f t="shared" si="11"/>
        <v>504889.34400000033</v>
      </c>
      <c r="P41" s="19">
        <f t="shared" si="11"/>
        <v>441778.1760000003</v>
      </c>
      <c r="Q41" s="19">
        <f t="shared" si="11"/>
        <v>378667.0080000003</v>
      </c>
      <c r="R41" s="19">
        <f t="shared" si="11"/>
        <v>315555.8400000003</v>
      </c>
      <c r="S41" s="19">
        <f t="shared" si="11"/>
        <v>252444.6720000003</v>
      </c>
      <c r="T41" s="19">
        <f t="shared" si="11"/>
        <v>189333.5040000003</v>
      </c>
      <c r="U41" s="19">
        <f t="shared" si="11"/>
        <v>126222.3360000003</v>
      </c>
      <c r="V41" s="19">
        <f t="shared" si="11"/>
        <v>63111.1680000003</v>
      </c>
      <c r="W41" s="19">
        <f t="shared" si="11"/>
        <v>3.055902197957039E-10</v>
      </c>
      <c r="X41" s="20"/>
    </row>
    <row r="42" spans="1:24" s="9" customFormat="1" ht="15">
      <c r="A42" s="19" t="s">
        <v>31</v>
      </c>
      <c r="B42" s="19">
        <v>0</v>
      </c>
      <c r="C42" s="19">
        <f>$B$16*B41</f>
        <v>0</v>
      </c>
      <c r="D42" s="19">
        <f>C41*$C$16</f>
        <v>2675</v>
      </c>
      <c r="E42" s="19">
        <f>D41*$D$16</f>
        <v>12037.5</v>
      </c>
      <c r="F42" s="19">
        <f>E41*E16</f>
        <v>21400</v>
      </c>
      <c r="G42" s="19">
        <f>F41*F16</f>
        <v>25680</v>
      </c>
      <c r="H42" s="19">
        <f>G41*G16</f>
        <v>29583.36</v>
      </c>
      <c r="I42" s="19">
        <f>H41*$H$18</f>
        <v>57510.051839999986</v>
      </c>
      <c r="J42" s="19">
        <f aca="true" t="shared" si="12" ref="J42:W42">I41*$H$18</f>
        <v>53676.048383999994</v>
      </c>
      <c r="K42" s="19">
        <f t="shared" si="12"/>
        <v>49842.044927999996</v>
      </c>
      <c r="L42" s="19">
        <f t="shared" si="12"/>
        <v>46008.041472</v>
      </c>
      <c r="M42" s="19">
        <f t="shared" si="12"/>
        <v>42174.038016000006</v>
      </c>
      <c r="N42" s="19">
        <f t="shared" si="12"/>
        <v>38340.03456000001</v>
      </c>
      <c r="O42" s="19">
        <f t="shared" si="12"/>
        <v>34506.03110400001</v>
      </c>
      <c r="P42" s="19">
        <f t="shared" si="12"/>
        <v>30672.027648000014</v>
      </c>
      <c r="Q42" s="19">
        <f t="shared" si="12"/>
        <v>26838.02419200001</v>
      </c>
      <c r="R42" s="19">
        <f t="shared" si="12"/>
        <v>23004.020736000013</v>
      </c>
      <c r="S42" s="19">
        <f t="shared" si="12"/>
        <v>19170.017280000015</v>
      </c>
      <c r="T42" s="19">
        <f t="shared" si="12"/>
        <v>15336.013824000014</v>
      </c>
      <c r="U42" s="19">
        <f t="shared" si="12"/>
        <v>11502.010368000016</v>
      </c>
      <c r="V42" s="19">
        <f t="shared" si="12"/>
        <v>7668.006912000016</v>
      </c>
      <c r="W42" s="19">
        <f t="shared" si="12"/>
        <v>3834.0034560000176</v>
      </c>
      <c r="X42" s="19">
        <f>SUM(B42:W42)</f>
        <v>551456.2747200001</v>
      </c>
    </row>
    <row r="43" spans="1:24" s="9" customFormat="1" ht="15">
      <c r="A43" s="19" t="s">
        <v>32</v>
      </c>
      <c r="B43" s="19">
        <v>0</v>
      </c>
      <c r="C43" s="19"/>
      <c r="D43" s="19"/>
      <c r="E43" s="19"/>
      <c r="F43" s="19">
        <f>E41*0.04</f>
        <v>42800</v>
      </c>
      <c r="G43" s="19">
        <f>F41*0.04</f>
        <v>41088</v>
      </c>
      <c r="H43" s="19">
        <f>G41*0.04</f>
        <v>39444.48</v>
      </c>
      <c r="I43" s="19">
        <f>$H$41/15</f>
        <v>63111.168</v>
      </c>
      <c r="J43" s="19">
        <f aca="true" t="shared" si="13" ref="J43:W43">$H$41/15</f>
        <v>63111.168</v>
      </c>
      <c r="K43" s="19">
        <f t="shared" si="13"/>
        <v>63111.168</v>
      </c>
      <c r="L43" s="19">
        <f t="shared" si="13"/>
        <v>63111.168</v>
      </c>
      <c r="M43" s="19">
        <f t="shared" si="13"/>
        <v>63111.168</v>
      </c>
      <c r="N43" s="19">
        <f t="shared" si="13"/>
        <v>63111.168</v>
      </c>
      <c r="O43" s="19">
        <f t="shared" si="13"/>
        <v>63111.168</v>
      </c>
      <c r="P43" s="19">
        <f t="shared" si="13"/>
        <v>63111.168</v>
      </c>
      <c r="Q43" s="19">
        <f t="shared" si="13"/>
        <v>63111.168</v>
      </c>
      <c r="R43" s="19">
        <f t="shared" si="13"/>
        <v>63111.168</v>
      </c>
      <c r="S43" s="19">
        <f t="shared" si="13"/>
        <v>63111.168</v>
      </c>
      <c r="T43" s="19">
        <f t="shared" si="13"/>
        <v>63111.168</v>
      </c>
      <c r="U43" s="19">
        <f t="shared" si="13"/>
        <v>63111.168</v>
      </c>
      <c r="V43" s="19">
        <f t="shared" si="13"/>
        <v>63111.168</v>
      </c>
      <c r="W43" s="19">
        <f t="shared" si="13"/>
        <v>63111.168</v>
      </c>
      <c r="X43" s="19">
        <f>SUM(B43:W43)</f>
        <v>1069999.9999999995</v>
      </c>
    </row>
    <row r="44" spans="1:24" s="9" customFormat="1" ht="15">
      <c r="A44" s="19" t="s">
        <v>27</v>
      </c>
      <c r="B44" s="19">
        <v>0</v>
      </c>
      <c r="C44" s="19">
        <f aca="true" t="shared" si="14" ref="C44:W44">C42+C43</f>
        <v>0</v>
      </c>
      <c r="D44" s="19">
        <f t="shared" si="14"/>
        <v>2675</v>
      </c>
      <c r="E44" s="19">
        <f t="shared" si="14"/>
        <v>12037.5</v>
      </c>
      <c r="F44" s="19">
        <f t="shared" si="14"/>
        <v>64200</v>
      </c>
      <c r="G44" s="19">
        <f t="shared" si="14"/>
        <v>66768</v>
      </c>
      <c r="H44" s="19">
        <f t="shared" si="14"/>
        <v>69027.84</v>
      </c>
      <c r="I44" s="19">
        <f t="shared" si="14"/>
        <v>120621.21983999998</v>
      </c>
      <c r="J44" s="19">
        <f t="shared" si="14"/>
        <v>116787.216384</v>
      </c>
      <c r="K44" s="19">
        <f t="shared" si="14"/>
        <v>112953.212928</v>
      </c>
      <c r="L44" s="19">
        <f t="shared" si="14"/>
        <v>109119.20947199999</v>
      </c>
      <c r="M44" s="19">
        <f t="shared" si="14"/>
        <v>105285.20601600001</v>
      </c>
      <c r="N44" s="19">
        <f t="shared" si="14"/>
        <v>101451.20256</v>
      </c>
      <c r="O44" s="19">
        <f t="shared" si="14"/>
        <v>97617.199104</v>
      </c>
      <c r="P44" s="19">
        <f t="shared" si="14"/>
        <v>93783.19564800001</v>
      </c>
      <c r="Q44" s="19">
        <f t="shared" si="14"/>
        <v>89949.19219200002</v>
      </c>
      <c r="R44" s="19">
        <f t="shared" si="14"/>
        <v>86115.18873600001</v>
      </c>
      <c r="S44" s="19">
        <f t="shared" si="14"/>
        <v>82281.18528</v>
      </c>
      <c r="T44" s="19">
        <f t="shared" si="14"/>
        <v>78447.18182400001</v>
      </c>
      <c r="U44" s="19">
        <f t="shared" si="14"/>
        <v>74613.17836800001</v>
      </c>
      <c r="V44" s="19">
        <f t="shared" si="14"/>
        <v>70779.17491200002</v>
      </c>
      <c r="W44" s="19">
        <f t="shared" si="14"/>
        <v>66945.17145600001</v>
      </c>
      <c r="X44" s="20">
        <f>SUM(B44:W44)</f>
        <v>1621456.2747200008</v>
      </c>
    </row>
    <row r="45" spans="1:24" s="9" customFormat="1" ht="15">
      <c r="A45" s="19" t="s">
        <v>33</v>
      </c>
      <c r="B45" s="19">
        <v>0</v>
      </c>
      <c r="C45" s="19"/>
      <c r="D45" s="19"/>
      <c r="E45" s="19"/>
      <c r="F45" s="19"/>
      <c r="G45" s="19"/>
      <c r="H45" s="19">
        <f>H41*$M$9+$M$10+H41*$M$11</f>
        <v>53064.011776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19">
        <f>SUM(B45:W45)</f>
        <v>53064.011776</v>
      </c>
    </row>
    <row r="46" spans="1:24" s="9" customFormat="1" ht="15">
      <c r="A46" s="19" t="s">
        <v>34</v>
      </c>
      <c r="B46" s="19">
        <v>0</v>
      </c>
      <c r="C46" s="19"/>
      <c r="D46" s="19"/>
      <c r="E46" s="19">
        <f>$M$12</f>
        <v>15000</v>
      </c>
      <c r="F46" s="19">
        <f>$M$12</f>
        <v>15000</v>
      </c>
      <c r="G46" s="19">
        <f>$M$12</f>
        <v>15000</v>
      </c>
      <c r="H46" s="19">
        <f>$M$12</f>
        <v>15000</v>
      </c>
      <c r="I46" s="19">
        <f aca="true" t="shared" si="15" ref="I46:W46">$M$12</f>
        <v>15000</v>
      </c>
      <c r="J46" s="19">
        <f t="shared" si="15"/>
        <v>15000</v>
      </c>
      <c r="K46" s="19">
        <f t="shared" si="15"/>
        <v>15000</v>
      </c>
      <c r="L46" s="19">
        <f t="shared" si="15"/>
        <v>15000</v>
      </c>
      <c r="M46" s="19">
        <f t="shared" si="15"/>
        <v>15000</v>
      </c>
      <c r="N46" s="19">
        <f t="shared" si="15"/>
        <v>15000</v>
      </c>
      <c r="O46" s="19">
        <f t="shared" si="15"/>
        <v>15000</v>
      </c>
      <c r="P46" s="19">
        <f t="shared" si="15"/>
        <v>15000</v>
      </c>
      <c r="Q46" s="19">
        <f t="shared" si="15"/>
        <v>15000</v>
      </c>
      <c r="R46" s="19">
        <f t="shared" si="15"/>
        <v>15000</v>
      </c>
      <c r="S46" s="19">
        <f t="shared" si="15"/>
        <v>15000</v>
      </c>
      <c r="T46" s="19">
        <f t="shared" si="15"/>
        <v>15000</v>
      </c>
      <c r="U46" s="19">
        <f t="shared" si="15"/>
        <v>15000</v>
      </c>
      <c r="V46" s="19">
        <f t="shared" si="15"/>
        <v>15000</v>
      </c>
      <c r="W46" s="19">
        <f t="shared" si="15"/>
        <v>15000</v>
      </c>
      <c r="X46" s="19">
        <f>SUM(B46:W46)</f>
        <v>285000</v>
      </c>
    </row>
    <row r="47" spans="1:24" s="9" customFormat="1" ht="15">
      <c r="A47" s="20" t="s">
        <v>24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f>SUM(X44:X46)</f>
        <v>1959520.2864960008</v>
      </c>
    </row>
    <row r="48" spans="1:24" s="9" customFormat="1" ht="15">
      <c r="A48" s="28" t="s">
        <v>38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5">
      <c r="A49" s="19" t="s">
        <v>25</v>
      </c>
      <c r="B49" s="19">
        <v>0</v>
      </c>
      <c r="C49" s="19">
        <f>M4</f>
        <v>1070000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5">
      <c r="A50" s="19" t="s">
        <v>26</v>
      </c>
      <c r="B50" s="19">
        <v>0</v>
      </c>
      <c r="C50" s="19">
        <f>C49</f>
        <v>1070000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ht="15">
      <c r="A51" s="19" t="s">
        <v>31</v>
      </c>
      <c r="B51" s="19">
        <v>0</v>
      </c>
      <c r="C51" s="19"/>
      <c r="D51" s="19">
        <f>IPMT($C$19,1,20,$C$50)*-1</f>
        <v>41730</v>
      </c>
      <c r="E51" s="19">
        <f>IPMT($C$19,2,20,$C$50)*-1</f>
        <v>40314.03157905112</v>
      </c>
      <c r="F51" s="19">
        <f>IPMT($C$19,3,20,$C$50)*-1</f>
        <v>38842.84038968524</v>
      </c>
      <c r="G51" s="19">
        <f>IPMT($C$19,4,20,$C$50)*-1</f>
        <v>37314.272743934074</v>
      </c>
      <c r="H51" s="19">
        <f>IPMT($C$19,5,20,$C$50)*-1</f>
        <v>35726.09095999862</v>
      </c>
      <c r="I51" s="19">
        <f>IPMT($C$19,6,20,$C$50)*-1</f>
        <v>34075.970086489695</v>
      </c>
      <c r="J51" s="19">
        <f>IPMT($C$19,7,20,$C$50)*-1</f>
        <v>32361.494498913904</v>
      </c>
      <c r="K51" s="19">
        <f>IPMT($C$19,8,20,$C$50)*-1</f>
        <v>30580.154363422662</v>
      </c>
      <c r="L51" s="19">
        <f>IPMT($C$19,9,20,$C$50)*-1</f>
        <v>28729.34196264726</v>
      </c>
      <c r="M51" s="19">
        <f>IPMT($C$19,10,20,$C$50)*-1</f>
        <v>26806.347878241624</v>
      </c>
      <c r="N51" s="19">
        <f>IPMT($C$19,11,20,$C$50)*-1</f>
        <v>24808.35702454417</v>
      </c>
      <c r="O51" s="19">
        <f>IPMT($C$19,12,20,$C$50)*-1</f>
        <v>22732.444527552503</v>
      </c>
      <c r="P51" s="19">
        <f>IPMT($C$19,13,20,$C$50)*-1</f>
        <v>20575.571443178167</v>
      </c>
      <c r="Q51" s="19">
        <f>IPMT($C$19,14,20,$C$50)*-1</f>
        <v>18334.580308513243</v>
      </c>
      <c r="R51" s="19">
        <f>IPMT($C$19,15,20,$C$50)*-1</f>
        <v>16006.19051959637</v>
      </c>
      <c r="S51" s="19">
        <f>IPMT($C$19,16,20,$C$50)*-1</f>
        <v>13586.993528911746</v>
      </c>
      <c r="T51" s="19">
        <f>IPMT($C$19,17,20,$C$50)*-1</f>
        <v>11073.447855590426</v>
      </c>
      <c r="U51" s="19">
        <f>IPMT($C$19,18,20,$C$50)*-1</f>
        <v>8461.873901009569</v>
      </c>
      <c r="V51" s="19">
        <f>IPMT($C$19,19,20,$C$50)*-1</f>
        <v>5748.44856220006</v>
      </c>
      <c r="W51" s="19">
        <f>IPMT($C$19,20,20,$C$50)*-1</f>
        <v>2929.1996351769803</v>
      </c>
      <c r="X51" s="19">
        <f>SUM(D51:W51)</f>
        <v>490737.6517686575</v>
      </c>
    </row>
    <row r="52" spans="1:24" ht="15">
      <c r="A52" s="19" t="s">
        <v>32</v>
      </c>
      <c r="B52" s="19">
        <v>0</v>
      </c>
      <c r="C52" s="19"/>
      <c r="D52" s="19">
        <f aca="true" t="shared" si="16" ref="D52:W52">(PMT($C$19,20,$C$50)*-1)-D51</f>
        <v>36306.88258843288</v>
      </c>
      <c r="E52" s="19">
        <f t="shared" si="16"/>
        <v>37722.85100938176</v>
      </c>
      <c r="F52" s="19">
        <f t="shared" si="16"/>
        <v>39194.042198747644</v>
      </c>
      <c r="G52" s="19">
        <f t="shared" si="16"/>
        <v>40722.60984449881</v>
      </c>
      <c r="H52" s="19">
        <f t="shared" si="16"/>
        <v>42310.791628434265</v>
      </c>
      <c r="I52" s="19">
        <f t="shared" si="16"/>
        <v>43960.91250194319</v>
      </c>
      <c r="J52" s="19">
        <f t="shared" si="16"/>
        <v>45675.38808951898</v>
      </c>
      <c r="K52" s="19">
        <f t="shared" si="16"/>
        <v>47456.72822501022</v>
      </c>
      <c r="L52" s="19">
        <f t="shared" si="16"/>
        <v>49307.54062578562</v>
      </c>
      <c r="M52" s="19">
        <f t="shared" si="16"/>
        <v>51230.53471019126</v>
      </c>
      <c r="N52" s="19">
        <f t="shared" si="16"/>
        <v>53228.52556388872</v>
      </c>
      <c r="O52" s="19">
        <f t="shared" si="16"/>
        <v>55304.43806088038</v>
      </c>
      <c r="P52" s="19">
        <f t="shared" si="16"/>
        <v>57461.31114525472</v>
      </c>
      <c r="Q52" s="19">
        <f t="shared" si="16"/>
        <v>59702.30227991964</v>
      </c>
      <c r="R52" s="19">
        <f t="shared" si="16"/>
        <v>62030.69206883651</v>
      </c>
      <c r="S52" s="19">
        <f t="shared" si="16"/>
        <v>64449.88905952114</v>
      </c>
      <c r="T52" s="19">
        <f t="shared" si="16"/>
        <v>66963.43473284246</v>
      </c>
      <c r="U52" s="19">
        <f t="shared" si="16"/>
        <v>69575.00868742331</v>
      </c>
      <c r="V52" s="19">
        <f t="shared" si="16"/>
        <v>72288.43402623282</v>
      </c>
      <c r="W52" s="19">
        <f t="shared" si="16"/>
        <v>75107.6829532559</v>
      </c>
      <c r="X52" s="19">
        <f>SUM(C52:W52)</f>
        <v>1070000.0000000002</v>
      </c>
    </row>
    <row r="53" spans="1:24" ht="15">
      <c r="A53" s="19" t="s">
        <v>27</v>
      </c>
      <c r="B53" s="19">
        <v>0</v>
      </c>
      <c r="C53" s="19">
        <f aca="true" t="shared" si="17" ref="C53:W53">C51+C52</f>
        <v>0</v>
      </c>
      <c r="D53" s="19">
        <f t="shared" si="17"/>
        <v>78036.88258843288</v>
      </c>
      <c r="E53" s="19">
        <f t="shared" si="17"/>
        <v>78036.88258843288</v>
      </c>
      <c r="F53" s="19">
        <f t="shared" si="17"/>
        <v>78036.88258843288</v>
      </c>
      <c r="G53" s="19">
        <f t="shared" si="17"/>
        <v>78036.88258843288</v>
      </c>
      <c r="H53" s="19">
        <f t="shared" si="17"/>
        <v>78036.88258843288</v>
      </c>
      <c r="I53" s="19">
        <f t="shared" si="17"/>
        <v>78036.88258843288</v>
      </c>
      <c r="J53" s="19">
        <f t="shared" si="17"/>
        <v>78036.88258843288</v>
      </c>
      <c r="K53" s="19">
        <f t="shared" si="17"/>
        <v>78036.88258843288</v>
      </c>
      <c r="L53" s="19">
        <f t="shared" si="17"/>
        <v>78036.88258843288</v>
      </c>
      <c r="M53" s="19">
        <f t="shared" si="17"/>
        <v>78036.88258843288</v>
      </c>
      <c r="N53" s="19">
        <f t="shared" si="17"/>
        <v>78036.88258843288</v>
      </c>
      <c r="O53" s="19">
        <f t="shared" si="17"/>
        <v>78036.88258843288</v>
      </c>
      <c r="P53" s="19">
        <f t="shared" si="17"/>
        <v>78036.88258843288</v>
      </c>
      <c r="Q53" s="19">
        <f t="shared" si="17"/>
        <v>78036.88258843288</v>
      </c>
      <c r="R53" s="19">
        <f t="shared" si="17"/>
        <v>78036.88258843288</v>
      </c>
      <c r="S53" s="19">
        <f t="shared" si="17"/>
        <v>78036.88258843288</v>
      </c>
      <c r="T53" s="19">
        <f t="shared" si="17"/>
        <v>78036.88258843288</v>
      </c>
      <c r="U53" s="19">
        <f t="shared" si="17"/>
        <v>78036.88258843288</v>
      </c>
      <c r="V53" s="19">
        <f t="shared" si="17"/>
        <v>78036.88258843288</v>
      </c>
      <c r="W53" s="19">
        <f t="shared" si="17"/>
        <v>78036.88258843288</v>
      </c>
      <c r="X53" s="20">
        <f>SUM(C53:W53)</f>
        <v>1560737.6517686576</v>
      </c>
    </row>
    <row r="54" spans="1:24" ht="15">
      <c r="A54" s="19" t="s">
        <v>33</v>
      </c>
      <c r="B54" s="19">
        <v>0</v>
      </c>
      <c r="C54" s="19">
        <f>C50*$M$9+$M$10+C50*$M$11</f>
        <v>54766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>
        <f>SUM(C54:W54)</f>
        <v>54766</v>
      </c>
    </row>
    <row r="55" spans="1:24" ht="15">
      <c r="A55" s="19" t="s">
        <v>34</v>
      </c>
      <c r="B55" s="19">
        <v>0</v>
      </c>
      <c r="C55" s="19">
        <f>$M$12*4</f>
        <v>60000</v>
      </c>
      <c r="D55" s="19">
        <f aca="true" t="shared" si="18" ref="D55:W55">$M$12</f>
        <v>15000</v>
      </c>
      <c r="E55" s="19">
        <f t="shared" si="18"/>
        <v>15000</v>
      </c>
      <c r="F55" s="19">
        <f t="shared" si="18"/>
        <v>15000</v>
      </c>
      <c r="G55" s="19">
        <f t="shared" si="18"/>
        <v>15000</v>
      </c>
      <c r="H55" s="19">
        <f t="shared" si="18"/>
        <v>15000</v>
      </c>
      <c r="I55" s="19">
        <f t="shared" si="18"/>
        <v>15000</v>
      </c>
      <c r="J55" s="19">
        <f t="shared" si="18"/>
        <v>15000</v>
      </c>
      <c r="K55" s="19">
        <f t="shared" si="18"/>
        <v>15000</v>
      </c>
      <c r="L55" s="19">
        <f t="shared" si="18"/>
        <v>15000</v>
      </c>
      <c r="M55" s="19">
        <f t="shared" si="18"/>
        <v>15000</v>
      </c>
      <c r="N55" s="19">
        <f t="shared" si="18"/>
        <v>15000</v>
      </c>
      <c r="O55" s="19">
        <f t="shared" si="18"/>
        <v>15000</v>
      </c>
      <c r="P55" s="19">
        <f t="shared" si="18"/>
        <v>15000</v>
      </c>
      <c r="Q55" s="19">
        <f t="shared" si="18"/>
        <v>15000</v>
      </c>
      <c r="R55" s="19">
        <f t="shared" si="18"/>
        <v>15000</v>
      </c>
      <c r="S55" s="19">
        <f t="shared" si="18"/>
        <v>15000</v>
      </c>
      <c r="T55" s="19">
        <f t="shared" si="18"/>
        <v>15000</v>
      </c>
      <c r="U55" s="19">
        <f t="shared" si="18"/>
        <v>15000</v>
      </c>
      <c r="V55" s="19">
        <f t="shared" si="18"/>
        <v>15000</v>
      </c>
      <c r="W55" s="19">
        <f t="shared" si="18"/>
        <v>15000</v>
      </c>
      <c r="X55" s="19">
        <f>SUM(C55:W55)</f>
        <v>360000</v>
      </c>
    </row>
    <row r="56" spans="1:24" s="9" customFormat="1" ht="15">
      <c r="A56" s="20" t="s">
        <v>24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>
        <f>SUM(X53:X55)</f>
        <v>1975503.6517686576</v>
      </c>
    </row>
    <row r="57" spans="1:24" s="9" customFormat="1" ht="15">
      <c r="A57" s="28" t="s">
        <v>39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5">
      <c r="A58" s="19" t="s">
        <v>25</v>
      </c>
      <c r="B58" s="19">
        <v>0</v>
      </c>
      <c r="C58" s="19">
        <f>M4</f>
        <v>1070000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5">
      <c r="A59" s="19" t="s">
        <v>26</v>
      </c>
      <c r="B59" s="19">
        <v>0</v>
      </c>
      <c r="C59" s="19">
        <f>C58</f>
        <v>1070000</v>
      </c>
      <c r="D59" s="19">
        <f>C59-D61</f>
        <v>1016500</v>
      </c>
      <c r="E59" s="19">
        <f aca="true" t="shared" si="19" ref="E59:W59">D59-E61</f>
        <v>963000</v>
      </c>
      <c r="F59" s="19">
        <f t="shared" si="19"/>
        <v>909500</v>
      </c>
      <c r="G59" s="19">
        <f t="shared" si="19"/>
        <v>856000</v>
      </c>
      <c r="H59" s="19">
        <f t="shared" si="19"/>
        <v>802500</v>
      </c>
      <c r="I59" s="19">
        <f t="shared" si="19"/>
        <v>749000</v>
      </c>
      <c r="J59" s="19">
        <f t="shared" si="19"/>
        <v>695500</v>
      </c>
      <c r="K59" s="19">
        <f t="shared" si="19"/>
        <v>642000</v>
      </c>
      <c r="L59" s="19">
        <f t="shared" si="19"/>
        <v>588500</v>
      </c>
      <c r="M59" s="19">
        <f t="shared" si="19"/>
        <v>535000</v>
      </c>
      <c r="N59" s="19">
        <f t="shared" si="19"/>
        <v>481500</v>
      </c>
      <c r="O59" s="19">
        <f t="shared" si="19"/>
        <v>428000</v>
      </c>
      <c r="P59" s="19">
        <f t="shared" si="19"/>
        <v>374500</v>
      </c>
      <c r="Q59" s="19">
        <f t="shared" si="19"/>
        <v>321000</v>
      </c>
      <c r="R59" s="19">
        <f t="shared" si="19"/>
        <v>267500</v>
      </c>
      <c r="S59" s="19">
        <f t="shared" si="19"/>
        <v>214000</v>
      </c>
      <c r="T59" s="19">
        <f t="shared" si="19"/>
        <v>160500</v>
      </c>
      <c r="U59" s="19">
        <f t="shared" si="19"/>
        <v>107000</v>
      </c>
      <c r="V59" s="19">
        <f t="shared" si="19"/>
        <v>53500</v>
      </c>
      <c r="W59" s="19">
        <f t="shared" si="19"/>
        <v>0</v>
      </c>
      <c r="X59" s="19"/>
    </row>
    <row r="60" spans="1:24" ht="15">
      <c r="A60" s="19" t="s">
        <v>31</v>
      </c>
      <c r="B60" s="19">
        <v>0</v>
      </c>
      <c r="C60" s="19"/>
      <c r="D60" s="19">
        <f>C59*$C$19</f>
        <v>41730</v>
      </c>
      <c r="E60" s="19">
        <f aca="true" t="shared" si="20" ref="E60:W60">D59*$C$19</f>
        <v>39643.5</v>
      </c>
      <c r="F60" s="19">
        <f t="shared" si="20"/>
        <v>37557</v>
      </c>
      <c r="G60" s="19">
        <f t="shared" si="20"/>
        <v>35470.5</v>
      </c>
      <c r="H60" s="19">
        <f t="shared" si="20"/>
        <v>33384</v>
      </c>
      <c r="I60" s="19">
        <f t="shared" si="20"/>
        <v>31297.5</v>
      </c>
      <c r="J60" s="19">
        <f t="shared" si="20"/>
        <v>29211</v>
      </c>
      <c r="K60" s="19">
        <f t="shared" si="20"/>
        <v>27124.5</v>
      </c>
      <c r="L60" s="19">
        <f t="shared" si="20"/>
        <v>25038</v>
      </c>
      <c r="M60" s="19">
        <f t="shared" si="20"/>
        <v>22951.5</v>
      </c>
      <c r="N60" s="19">
        <f t="shared" si="20"/>
        <v>20865</v>
      </c>
      <c r="O60" s="19">
        <f t="shared" si="20"/>
        <v>18778.5</v>
      </c>
      <c r="P60" s="19">
        <f t="shared" si="20"/>
        <v>16692</v>
      </c>
      <c r="Q60" s="19">
        <f t="shared" si="20"/>
        <v>14605.5</v>
      </c>
      <c r="R60" s="19">
        <f t="shared" si="20"/>
        <v>12519</v>
      </c>
      <c r="S60" s="19">
        <f t="shared" si="20"/>
        <v>10432.5</v>
      </c>
      <c r="T60" s="19">
        <f t="shared" si="20"/>
        <v>8346</v>
      </c>
      <c r="U60" s="19">
        <f t="shared" si="20"/>
        <v>6259.5</v>
      </c>
      <c r="V60" s="19">
        <f t="shared" si="20"/>
        <v>4173</v>
      </c>
      <c r="W60" s="19">
        <f t="shared" si="20"/>
        <v>2086.5</v>
      </c>
      <c r="X60" s="19">
        <f>SUM(D60:W60)</f>
        <v>438165</v>
      </c>
    </row>
    <row r="61" spans="1:24" ht="15">
      <c r="A61" s="19" t="s">
        <v>32</v>
      </c>
      <c r="B61" s="19">
        <v>0</v>
      </c>
      <c r="C61" s="19"/>
      <c r="D61" s="19">
        <f>$C$59/20</f>
        <v>53500</v>
      </c>
      <c r="E61" s="19">
        <f aca="true" t="shared" si="21" ref="E61:W61">$C$59/20</f>
        <v>53500</v>
      </c>
      <c r="F61" s="19">
        <f t="shared" si="21"/>
        <v>53500</v>
      </c>
      <c r="G61" s="19">
        <f t="shared" si="21"/>
        <v>53500</v>
      </c>
      <c r="H61" s="19">
        <f t="shared" si="21"/>
        <v>53500</v>
      </c>
      <c r="I61" s="19">
        <f t="shared" si="21"/>
        <v>53500</v>
      </c>
      <c r="J61" s="19">
        <f t="shared" si="21"/>
        <v>53500</v>
      </c>
      <c r="K61" s="19">
        <f t="shared" si="21"/>
        <v>53500</v>
      </c>
      <c r="L61" s="19">
        <f t="shared" si="21"/>
        <v>53500</v>
      </c>
      <c r="M61" s="19">
        <f t="shared" si="21"/>
        <v>53500</v>
      </c>
      <c r="N61" s="19">
        <f t="shared" si="21"/>
        <v>53500</v>
      </c>
      <c r="O61" s="19">
        <f t="shared" si="21"/>
        <v>53500</v>
      </c>
      <c r="P61" s="19">
        <f t="shared" si="21"/>
        <v>53500</v>
      </c>
      <c r="Q61" s="19">
        <f t="shared" si="21"/>
        <v>53500</v>
      </c>
      <c r="R61" s="19">
        <f t="shared" si="21"/>
        <v>53500</v>
      </c>
      <c r="S61" s="19">
        <f t="shared" si="21"/>
        <v>53500</v>
      </c>
      <c r="T61" s="19">
        <f t="shared" si="21"/>
        <v>53500</v>
      </c>
      <c r="U61" s="19">
        <f t="shared" si="21"/>
        <v>53500</v>
      </c>
      <c r="V61" s="19">
        <f t="shared" si="21"/>
        <v>53500</v>
      </c>
      <c r="W61" s="19">
        <f t="shared" si="21"/>
        <v>53500</v>
      </c>
      <c r="X61" s="19">
        <f>SUM(D61:W61)</f>
        <v>1070000</v>
      </c>
    </row>
    <row r="62" spans="1:24" ht="15">
      <c r="A62" s="19" t="s">
        <v>27</v>
      </c>
      <c r="B62" s="19">
        <v>0</v>
      </c>
      <c r="C62" s="19"/>
      <c r="D62" s="19">
        <f>D60+D61</f>
        <v>95230</v>
      </c>
      <c r="E62" s="19">
        <f aca="true" t="shared" si="22" ref="E62:W62">E60+E61</f>
        <v>93143.5</v>
      </c>
      <c r="F62" s="19">
        <f t="shared" si="22"/>
        <v>91057</v>
      </c>
      <c r="G62" s="19">
        <f t="shared" si="22"/>
        <v>88970.5</v>
      </c>
      <c r="H62" s="19">
        <f t="shared" si="22"/>
        <v>86884</v>
      </c>
      <c r="I62" s="19">
        <f t="shared" si="22"/>
        <v>84797.5</v>
      </c>
      <c r="J62" s="19">
        <f t="shared" si="22"/>
        <v>82711</v>
      </c>
      <c r="K62" s="19">
        <f t="shared" si="22"/>
        <v>80624.5</v>
      </c>
      <c r="L62" s="19">
        <f t="shared" si="22"/>
        <v>78538</v>
      </c>
      <c r="M62" s="19">
        <f t="shared" si="22"/>
        <v>76451.5</v>
      </c>
      <c r="N62" s="19">
        <f t="shared" si="22"/>
        <v>74365</v>
      </c>
      <c r="O62" s="19">
        <f t="shared" si="22"/>
        <v>72278.5</v>
      </c>
      <c r="P62" s="19">
        <f t="shared" si="22"/>
        <v>70192</v>
      </c>
      <c r="Q62" s="19">
        <f t="shared" si="22"/>
        <v>68105.5</v>
      </c>
      <c r="R62" s="19">
        <f t="shared" si="22"/>
        <v>66019</v>
      </c>
      <c r="S62" s="19">
        <f t="shared" si="22"/>
        <v>63932.5</v>
      </c>
      <c r="T62" s="19">
        <f t="shared" si="22"/>
        <v>61846</v>
      </c>
      <c r="U62" s="19">
        <f t="shared" si="22"/>
        <v>59759.5</v>
      </c>
      <c r="V62" s="19">
        <f t="shared" si="22"/>
        <v>57673</v>
      </c>
      <c r="W62" s="19">
        <f t="shared" si="22"/>
        <v>55586.5</v>
      </c>
      <c r="X62" s="20">
        <f>SUM(D62:W62)</f>
        <v>1508165</v>
      </c>
    </row>
    <row r="63" spans="1:24" ht="15">
      <c r="A63" s="19" t="s">
        <v>33</v>
      </c>
      <c r="B63" s="19">
        <v>0</v>
      </c>
      <c r="C63" s="19">
        <f>C59*$M$9+$M$10+C59*$M$11</f>
        <v>54766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>
        <f>SUM(C63:W63)</f>
        <v>54766</v>
      </c>
    </row>
    <row r="64" spans="1:24" ht="15">
      <c r="A64" s="19" t="s">
        <v>34</v>
      </c>
      <c r="B64" s="19">
        <v>0</v>
      </c>
      <c r="C64" s="19">
        <f>$M$12*4</f>
        <v>60000</v>
      </c>
      <c r="D64" s="19">
        <f aca="true" t="shared" si="23" ref="D64:W64">$M$12</f>
        <v>15000</v>
      </c>
      <c r="E64" s="19">
        <f t="shared" si="23"/>
        <v>15000</v>
      </c>
      <c r="F64" s="19">
        <f t="shared" si="23"/>
        <v>15000</v>
      </c>
      <c r="G64" s="19">
        <f t="shared" si="23"/>
        <v>15000</v>
      </c>
      <c r="H64" s="19">
        <f t="shared" si="23"/>
        <v>15000</v>
      </c>
      <c r="I64" s="19">
        <f t="shared" si="23"/>
        <v>15000</v>
      </c>
      <c r="J64" s="19">
        <f t="shared" si="23"/>
        <v>15000</v>
      </c>
      <c r="K64" s="19">
        <f t="shared" si="23"/>
        <v>15000</v>
      </c>
      <c r="L64" s="19">
        <f t="shared" si="23"/>
        <v>15000</v>
      </c>
      <c r="M64" s="19">
        <f t="shared" si="23"/>
        <v>15000</v>
      </c>
      <c r="N64" s="19">
        <f t="shared" si="23"/>
        <v>15000</v>
      </c>
      <c r="O64" s="19">
        <f t="shared" si="23"/>
        <v>15000</v>
      </c>
      <c r="P64" s="19">
        <f t="shared" si="23"/>
        <v>15000</v>
      </c>
      <c r="Q64" s="19">
        <f t="shared" si="23"/>
        <v>15000</v>
      </c>
      <c r="R64" s="19">
        <f t="shared" si="23"/>
        <v>15000</v>
      </c>
      <c r="S64" s="19">
        <f t="shared" si="23"/>
        <v>15000</v>
      </c>
      <c r="T64" s="19">
        <f t="shared" si="23"/>
        <v>15000</v>
      </c>
      <c r="U64" s="19">
        <f t="shared" si="23"/>
        <v>15000</v>
      </c>
      <c r="V64" s="19">
        <f t="shared" si="23"/>
        <v>15000</v>
      </c>
      <c r="W64" s="19">
        <f t="shared" si="23"/>
        <v>15000</v>
      </c>
      <c r="X64" s="19">
        <f>SUM(C64:W64)</f>
        <v>360000</v>
      </c>
    </row>
    <row r="65" spans="1:24" ht="15">
      <c r="A65" s="20" t="s">
        <v>24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20">
        <f>SUM(X62:X64)</f>
        <v>1922931</v>
      </c>
    </row>
    <row r="66" spans="1:24" ht="15">
      <c r="A66" s="28" t="s">
        <v>77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5">
      <c r="A67" s="19" t="s">
        <v>25</v>
      </c>
      <c r="B67" s="19">
        <v>0</v>
      </c>
      <c r="C67" s="19">
        <f>0.25*$M$4</f>
        <v>267500</v>
      </c>
      <c r="D67" s="19">
        <f>0.5*$M$4</f>
        <v>535000</v>
      </c>
      <c r="E67" s="19">
        <f>0.25*$M$4</f>
        <v>267500</v>
      </c>
      <c r="F67" s="19"/>
      <c r="G67" s="19"/>
      <c r="H67" s="19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5">
      <c r="A68" s="19" t="s">
        <v>26</v>
      </c>
      <c r="B68" s="19">
        <v>0</v>
      </c>
      <c r="C68" s="19">
        <f>C67</f>
        <v>267500</v>
      </c>
      <c r="D68" s="19">
        <f>C67+D67</f>
        <v>802500</v>
      </c>
      <c r="E68" s="19">
        <f>C67+D67+E67</f>
        <v>1070000</v>
      </c>
      <c r="F68" s="19">
        <f>E68-0.04*E68</f>
        <v>1027200</v>
      </c>
      <c r="G68" s="19">
        <f>F68-F68*0.04</f>
        <v>986112</v>
      </c>
      <c r="H68" s="19">
        <f>G68-G68*0.04</f>
        <v>946667.52</v>
      </c>
      <c r="I68" s="21">
        <f>H68-I70</f>
        <v>852000.768</v>
      </c>
      <c r="J68" s="21">
        <f aca="true" t="shared" si="24" ref="J68:R68">I68-J70</f>
        <v>757334.0160000001</v>
      </c>
      <c r="K68" s="21">
        <f t="shared" si="24"/>
        <v>662667.2640000001</v>
      </c>
      <c r="L68" s="21">
        <f t="shared" si="24"/>
        <v>568000.5120000001</v>
      </c>
      <c r="M68" s="21">
        <f t="shared" si="24"/>
        <v>473333.7600000001</v>
      </c>
      <c r="N68" s="21">
        <f t="shared" si="24"/>
        <v>378667.00800000015</v>
      </c>
      <c r="O68" s="21">
        <f t="shared" si="24"/>
        <v>284000.25600000017</v>
      </c>
      <c r="P68" s="21">
        <f t="shared" si="24"/>
        <v>189333.50400000016</v>
      </c>
      <c r="Q68" s="21">
        <f t="shared" si="24"/>
        <v>94666.75200000015</v>
      </c>
      <c r="R68" s="21">
        <f t="shared" si="24"/>
        <v>1.4551915228366852E-10</v>
      </c>
      <c r="S68" s="21"/>
      <c r="T68" s="21"/>
      <c r="U68" s="21"/>
      <c r="V68" s="21"/>
      <c r="W68" s="21"/>
      <c r="X68" s="21"/>
    </row>
    <row r="69" spans="1:24" ht="15">
      <c r="A69" s="19" t="s">
        <v>31</v>
      </c>
      <c r="B69" s="19">
        <v>0</v>
      </c>
      <c r="C69" s="19">
        <f>$B$16*B68</f>
        <v>0</v>
      </c>
      <c r="D69" s="19">
        <f>C68*$C$16</f>
        <v>2675</v>
      </c>
      <c r="E69" s="19">
        <f>D68*$D$16</f>
        <v>12037.5</v>
      </c>
      <c r="F69" s="19">
        <f>E68*E16</f>
        <v>21400</v>
      </c>
      <c r="G69" s="19">
        <f>F68*F16</f>
        <v>25680</v>
      </c>
      <c r="H69" s="19">
        <f>G68*G16</f>
        <v>29583.36</v>
      </c>
      <c r="I69" s="21">
        <f>H68*H16</f>
        <v>33133.36320000001</v>
      </c>
      <c r="J69" s="21">
        <f aca="true" t="shared" si="25" ref="J69:R69">I68*I16</f>
        <v>34080.03072</v>
      </c>
      <c r="K69" s="21">
        <f t="shared" si="25"/>
        <v>34080.03072</v>
      </c>
      <c r="L69" s="21">
        <f t="shared" si="25"/>
        <v>33133.3632</v>
      </c>
      <c r="M69" s="21">
        <f t="shared" si="25"/>
        <v>31240.02816</v>
      </c>
      <c r="N69" s="21">
        <f t="shared" si="25"/>
        <v>28400.025600000004</v>
      </c>
      <c r="O69" s="21">
        <f t="shared" si="25"/>
        <v>24613.355520000005</v>
      </c>
      <c r="P69" s="21">
        <f t="shared" si="25"/>
        <v>19880.01792000001</v>
      </c>
      <c r="Q69" s="21">
        <f t="shared" si="25"/>
        <v>14200.012800000011</v>
      </c>
      <c r="R69" s="21">
        <f t="shared" si="25"/>
        <v>7573.3401600000125</v>
      </c>
      <c r="S69" s="21"/>
      <c r="T69" s="21"/>
      <c r="U69" s="21"/>
      <c r="V69" s="21"/>
      <c r="W69" s="21"/>
      <c r="X69" s="21">
        <f>SUM(B69:W69)</f>
        <v>351709.4280000001</v>
      </c>
    </row>
    <row r="70" spans="1:24" ht="15">
      <c r="A70" s="19" t="s">
        <v>32</v>
      </c>
      <c r="B70" s="19">
        <v>0</v>
      </c>
      <c r="C70" s="19"/>
      <c r="D70" s="19"/>
      <c r="E70" s="19"/>
      <c r="F70" s="19">
        <f>E68*0.04</f>
        <v>42800</v>
      </c>
      <c r="G70" s="19">
        <f>F68*0.04</f>
        <v>41088</v>
      </c>
      <c r="H70" s="19">
        <f>G68*0.04</f>
        <v>39444.48</v>
      </c>
      <c r="I70" s="21">
        <f>$H$68/10</f>
        <v>94666.75200000001</v>
      </c>
      <c r="J70" s="21">
        <f aca="true" t="shared" si="26" ref="J70:R70">$H$68/10</f>
        <v>94666.75200000001</v>
      </c>
      <c r="K70" s="21">
        <f t="shared" si="26"/>
        <v>94666.75200000001</v>
      </c>
      <c r="L70" s="21">
        <f t="shared" si="26"/>
        <v>94666.75200000001</v>
      </c>
      <c r="M70" s="21">
        <f t="shared" si="26"/>
        <v>94666.75200000001</v>
      </c>
      <c r="N70" s="21">
        <f t="shared" si="26"/>
        <v>94666.75200000001</v>
      </c>
      <c r="O70" s="21">
        <f t="shared" si="26"/>
        <v>94666.75200000001</v>
      </c>
      <c r="P70" s="21">
        <f t="shared" si="26"/>
        <v>94666.75200000001</v>
      </c>
      <c r="Q70" s="21">
        <f t="shared" si="26"/>
        <v>94666.75200000001</v>
      </c>
      <c r="R70" s="21">
        <f t="shared" si="26"/>
        <v>94666.75200000001</v>
      </c>
      <c r="S70" s="21"/>
      <c r="T70" s="21"/>
      <c r="U70" s="21"/>
      <c r="V70" s="21"/>
      <c r="W70" s="21"/>
      <c r="X70" s="21">
        <f>SUM(B70:W70)</f>
        <v>1070000</v>
      </c>
    </row>
    <row r="71" spans="1:24" ht="15">
      <c r="A71" s="19" t="s">
        <v>27</v>
      </c>
      <c r="B71" s="19">
        <v>0</v>
      </c>
      <c r="C71" s="19">
        <f aca="true" t="shared" si="27" ref="C71:R71">C69+C70</f>
        <v>0</v>
      </c>
      <c r="D71" s="19">
        <f t="shared" si="27"/>
        <v>2675</v>
      </c>
      <c r="E71" s="19">
        <f t="shared" si="27"/>
        <v>12037.5</v>
      </c>
      <c r="F71" s="19">
        <f t="shared" si="27"/>
        <v>64200</v>
      </c>
      <c r="G71" s="19">
        <f t="shared" si="27"/>
        <v>66768</v>
      </c>
      <c r="H71" s="19">
        <f t="shared" si="27"/>
        <v>69027.84</v>
      </c>
      <c r="I71" s="19">
        <f t="shared" si="27"/>
        <v>127800.11520000001</v>
      </c>
      <c r="J71" s="19">
        <f t="shared" si="27"/>
        <v>128746.78272000002</v>
      </c>
      <c r="K71" s="19">
        <f t="shared" si="27"/>
        <v>128746.78272000002</v>
      </c>
      <c r="L71" s="19">
        <f t="shared" si="27"/>
        <v>127800.1152</v>
      </c>
      <c r="M71" s="19">
        <f t="shared" si="27"/>
        <v>125906.78016000001</v>
      </c>
      <c r="N71" s="19">
        <f t="shared" si="27"/>
        <v>123066.77760000002</v>
      </c>
      <c r="O71" s="19">
        <f t="shared" si="27"/>
        <v>119280.10752000002</v>
      </c>
      <c r="P71" s="19">
        <f t="shared" si="27"/>
        <v>114546.76992000002</v>
      </c>
      <c r="Q71" s="19">
        <f t="shared" si="27"/>
        <v>108866.76480000002</v>
      </c>
      <c r="R71" s="19">
        <f t="shared" si="27"/>
        <v>102240.09216000001</v>
      </c>
      <c r="S71" s="21"/>
      <c r="T71" s="21"/>
      <c r="U71" s="21"/>
      <c r="V71" s="21"/>
      <c r="W71" s="21"/>
      <c r="X71" s="22">
        <f>SUM(B71:W71)</f>
        <v>1421709.428</v>
      </c>
    </row>
    <row r="72" spans="1:24" ht="15">
      <c r="A72" s="19" t="s">
        <v>33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21"/>
      <c r="T72" s="21"/>
      <c r="U72" s="21"/>
      <c r="V72" s="21"/>
      <c r="W72" s="21"/>
      <c r="X72" s="21">
        <f>SUM(B72:W72)</f>
        <v>0</v>
      </c>
    </row>
    <row r="73" spans="1:24" ht="15">
      <c r="A73" s="19" t="s">
        <v>34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21"/>
      <c r="T73" s="21"/>
      <c r="U73" s="21"/>
      <c r="V73" s="21"/>
      <c r="W73" s="21"/>
      <c r="X73" s="21">
        <f>SUM(B73:W73)</f>
        <v>0</v>
      </c>
    </row>
    <row r="74" spans="1:24" ht="15">
      <c r="A74" s="20" t="s">
        <v>24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2">
        <f>SUM(X71:X73)</f>
        <v>1421709.428</v>
      </c>
    </row>
  </sheetData>
  <sheetProtection/>
  <mergeCells count="18">
    <mergeCell ref="J9:L9"/>
    <mergeCell ref="J12:L12"/>
    <mergeCell ref="J1:M1"/>
    <mergeCell ref="J2:L2"/>
    <mergeCell ref="J3:L3"/>
    <mergeCell ref="J4:L4"/>
    <mergeCell ref="J7:L7"/>
    <mergeCell ref="J11:L11"/>
    <mergeCell ref="J13:L13"/>
    <mergeCell ref="J10:L10"/>
    <mergeCell ref="A57:X57"/>
    <mergeCell ref="A39:X39"/>
    <mergeCell ref="D4:F4"/>
    <mergeCell ref="A66:X66"/>
    <mergeCell ref="A21:X21"/>
    <mergeCell ref="A30:X30"/>
    <mergeCell ref="A48:X48"/>
    <mergeCell ref="J8:L8"/>
  </mergeCells>
  <printOptions/>
  <pageMargins left="0.25" right="0.25" top="0.25" bottom="0.25" header="0" footer="0"/>
  <pageSetup fitToHeight="1" fitToWidth="1" orientation="landscape" scale="51" r:id="rId2"/>
  <headerFooter>
    <oddFooter>&amp;L10/22/2015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7.00390625" style="0" customWidth="1"/>
    <col min="2" max="2" width="13.140625" style="0" customWidth="1"/>
    <col min="3" max="3" width="14.7109375" style="0" customWidth="1"/>
    <col min="4" max="4" width="15.57421875" style="0" customWidth="1"/>
  </cols>
  <sheetData>
    <row r="1" spans="1:4" ht="15">
      <c r="A1" s="11" t="s">
        <v>40</v>
      </c>
      <c r="B1" s="12">
        <v>3710000</v>
      </c>
      <c r="C1" s="12">
        <v>-1410000</v>
      </c>
      <c r="D1" s="13">
        <v>2300000</v>
      </c>
    </row>
    <row r="2" spans="1:4" ht="15">
      <c r="A2" s="11" t="s">
        <v>41</v>
      </c>
      <c r="B2" s="12">
        <v>5900000</v>
      </c>
      <c r="C2" s="12">
        <v>-2150000</v>
      </c>
      <c r="D2" s="13">
        <v>3750000</v>
      </c>
    </row>
    <row r="3" spans="1:4" ht="15">
      <c r="A3" s="11" t="s">
        <v>42</v>
      </c>
      <c r="B3" s="12">
        <v>2800000</v>
      </c>
      <c r="C3" s="12">
        <v>-1040000</v>
      </c>
      <c r="D3" s="13">
        <v>1760000</v>
      </c>
    </row>
    <row r="4" spans="1:4" ht="15">
      <c r="A4" s="11" t="s">
        <v>43</v>
      </c>
      <c r="B4" s="12">
        <v>2670000</v>
      </c>
      <c r="C4" s="12">
        <v>-960000</v>
      </c>
      <c r="D4" s="13">
        <v>1710000</v>
      </c>
    </row>
    <row r="5" spans="1:4" ht="15">
      <c r="A5" s="11" t="s">
        <v>44</v>
      </c>
      <c r="B5" s="12">
        <v>2400000</v>
      </c>
      <c r="C5" s="12">
        <v>-890000</v>
      </c>
      <c r="D5" s="13">
        <v>1510000</v>
      </c>
    </row>
    <row r="6" spans="1:4" ht="15">
      <c r="A6" s="11" t="s">
        <v>45</v>
      </c>
      <c r="B6" s="12">
        <v>3550000</v>
      </c>
      <c r="C6" s="12">
        <v>-1300000</v>
      </c>
      <c r="D6" s="13">
        <v>2250000</v>
      </c>
    </row>
    <row r="7" spans="1:4" ht="15">
      <c r="A7" s="11" t="s">
        <v>46</v>
      </c>
      <c r="B7" s="12">
        <v>2210000</v>
      </c>
      <c r="C7" s="12">
        <v>-840000</v>
      </c>
      <c r="D7" s="13">
        <v>1370000</v>
      </c>
    </row>
    <row r="8" spans="1:4" ht="15">
      <c r="A8" s="11" t="s">
        <v>47</v>
      </c>
      <c r="B8" s="12">
        <v>2940000</v>
      </c>
      <c r="C8" s="12">
        <v>-1070000</v>
      </c>
      <c r="D8" s="13">
        <v>1870000</v>
      </c>
    </row>
    <row r="9" spans="1:4" ht="15">
      <c r="A9" s="11" t="s">
        <v>48</v>
      </c>
      <c r="B9" s="12">
        <v>2150000</v>
      </c>
      <c r="C9" s="12">
        <v>-770000</v>
      </c>
      <c r="D9" s="13">
        <v>1380000</v>
      </c>
    </row>
    <row r="10" spans="1:4" ht="15">
      <c r="A10" s="11" t="s">
        <v>49</v>
      </c>
      <c r="B10" s="12">
        <v>1540000</v>
      </c>
      <c r="C10" s="12">
        <v>-520000</v>
      </c>
      <c r="D10" s="13">
        <v>1020000</v>
      </c>
    </row>
    <row r="11" spans="1:4" ht="15">
      <c r="A11" s="11" t="s">
        <v>50</v>
      </c>
      <c r="B11" s="12">
        <v>2240000</v>
      </c>
      <c r="C11" s="12">
        <v>-820000</v>
      </c>
      <c r="D11" s="13">
        <v>1420000</v>
      </c>
    </row>
    <row r="12" spans="1:4" ht="15">
      <c r="A12" s="11" t="s">
        <v>51</v>
      </c>
      <c r="B12" s="12">
        <v>2780000</v>
      </c>
      <c r="C12" s="12">
        <v>-1010000</v>
      </c>
      <c r="D12" s="13">
        <v>1770000</v>
      </c>
    </row>
    <row r="13" spans="1:4" ht="15">
      <c r="A13" s="11" t="s">
        <v>52</v>
      </c>
      <c r="B13" s="12">
        <v>1750000</v>
      </c>
      <c r="C13" s="12">
        <v>-680000</v>
      </c>
      <c r="D13" s="13">
        <v>1070000</v>
      </c>
    </row>
    <row r="14" spans="1:4" ht="15">
      <c r="A14" s="11" t="s">
        <v>53</v>
      </c>
      <c r="B14" s="12">
        <v>1590000</v>
      </c>
      <c r="C14" s="12">
        <v>-580000</v>
      </c>
      <c r="D14" s="13">
        <v>1010000</v>
      </c>
    </row>
    <row r="15" spans="1:4" ht="15">
      <c r="A15" s="11" t="s">
        <v>54</v>
      </c>
      <c r="B15" s="12">
        <v>3100000</v>
      </c>
      <c r="C15" s="12">
        <v>-1140000</v>
      </c>
      <c r="D15" s="13">
        <v>1960000</v>
      </c>
    </row>
    <row r="16" spans="1:4" ht="15">
      <c r="A16" s="11" t="s">
        <v>55</v>
      </c>
      <c r="B16" s="12">
        <v>1500000</v>
      </c>
      <c r="C16" s="12">
        <v>-550000</v>
      </c>
      <c r="D16" s="13">
        <v>950000</v>
      </c>
    </row>
    <row r="17" spans="1:4" ht="15">
      <c r="A17" s="11" t="s">
        <v>56</v>
      </c>
      <c r="B17" s="12">
        <v>700000</v>
      </c>
      <c r="C17" s="12">
        <v>-280000</v>
      </c>
      <c r="D17" s="13">
        <v>420000</v>
      </c>
    </row>
    <row r="18" spans="1:4" ht="15">
      <c r="A18" s="11" t="s">
        <v>57</v>
      </c>
      <c r="B18" s="12">
        <v>4730000</v>
      </c>
      <c r="C18" s="12">
        <v>-1710000</v>
      </c>
      <c r="D18" s="13">
        <v>3020000</v>
      </c>
    </row>
    <row r="19" spans="1:4" ht="15">
      <c r="A19" s="11" t="s">
        <v>58</v>
      </c>
      <c r="B19" s="12">
        <v>2140000</v>
      </c>
      <c r="C19" s="12">
        <v>-750000</v>
      </c>
      <c r="D19" s="13">
        <v>1390000</v>
      </c>
    </row>
    <row r="20" spans="1:4" ht="15">
      <c r="A20" s="11" t="s">
        <v>59</v>
      </c>
      <c r="B20" s="12">
        <v>4870000</v>
      </c>
      <c r="C20" s="12">
        <v>-1770000</v>
      </c>
      <c r="D20" s="13">
        <v>3100000</v>
      </c>
    </row>
    <row r="21" spans="1:4" ht="15">
      <c r="A21" s="11" t="s">
        <v>60</v>
      </c>
      <c r="B21" s="12">
        <v>1840000</v>
      </c>
      <c r="C21" s="12">
        <v>-690000</v>
      </c>
      <c r="D21" s="13">
        <v>1150000</v>
      </c>
    </row>
    <row r="22" spans="1:4" ht="15">
      <c r="A22" s="11" t="s">
        <v>61</v>
      </c>
      <c r="B22" s="12">
        <v>1760000</v>
      </c>
      <c r="C22" s="12">
        <v>-650000</v>
      </c>
      <c r="D22" s="13">
        <v>1110000</v>
      </c>
    </row>
    <row r="23" spans="1:4" ht="15">
      <c r="A23" s="11" t="s">
        <v>62</v>
      </c>
      <c r="B23" s="12">
        <v>1300000</v>
      </c>
      <c r="C23" s="12">
        <v>-440000</v>
      </c>
      <c r="D23" s="13">
        <v>860000</v>
      </c>
    </row>
    <row r="24" spans="1:4" ht="15">
      <c r="A24" s="11" t="s">
        <v>63</v>
      </c>
      <c r="B24" s="12">
        <v>3610000</v>
      </c>
      <c r="C24" s="12">
        <v>-1230000</v>
      </c>
      <c r="D24" s="13">
        <v>2380000</v>
      </c>
    </row>
    <row r="25" spans="1:4" ht="15">
      <c r="A25" s="11" t="s">
        <v>64</v>
      </c>
      <c r="B25" s="12">
        <v>2440000</v>
      </c>
      <c r="C25" s="12">
        <v>-870000</v>
      </c>
      <c r="D25" s="13">
        <v>1570000</v>
      </c>
    </row>
    <row r="26" spans="1:4" ht="15">
      <c r="A26" s="11" t="s">
        <v>65</v>
      </c>
      <c r="B26" s="12">
        <v>2650000</v>
      </c>
      <c r="C26" s="12">
        <v>-830000</v>
      </c>
      <c r="D26" s="13">
        <v>1820000</v>
      </c>
    </row>
    <row r="27" spans="1:4" ht="15">
      <c r="A27" s="11" t="s">
        <v>66</v>
      </c>
      <c r="B27" s="12">
        <v>1380000</v>
      </c>
      <c r="C27" s="12">
        <v>-480000</v>
      </c>
      <c r="D27" s="13">
        <v>900000</v>
      </c>
    </row>
    <row r="28" spans="1:4" ht="15">
      <c r="A28" s="11" t="s">
        <v>67</v>
      </c>
      <c r="B28" s="12">
        <v>2480000</v>
      </c>
      <c r="C28" s="12">
        <v>-870000</v>
      </c>
      <c r="D28" s="13">
        <v>1610000</v>
      </c>
    </row>
    <row r="29" spans="1:4" ht="15">
      <c r="A29" s="11" t="s">
        <v>68</v>
      </c>
      <c r="B29" s="12">
        <v>1260000</v>
      </c>
      <c r="C29" s="12">
        <v>-490000</v>
      </c>
      <c r="D29" s="13">
        <v>770000</v>
      </c>
    </row>
    <row r="30" spans="1:4" ht="15">
      <c r="A30" s="11" t="s">
        <v>69</v>
      </c>
      <c r="B30" s="12">
        <v>1900000</v>
      </c>
      <c r="C30" s="12">
        <v>-730000</v>
      </c>
      <c r="D30" s="13">
        <v>1170000</v>
      </c>
    </row>
    <row r="31" spans="1:4" ht="15">
      <c r="A31" s="11" t="s">
        <v>70</v>
      </c>
      <c r="B31" s="12">
        <v>2830000</v>
      </c>
      <c r="C31" s="12">
        <v>-1000000</v>
      </c>
      <c r="D31" s="13">
        <v>1830000</v>
      </c>
    </row>
    <row r="32" spans="1:4" ht="15">
      <c r="A32" s="11" t="s">
        <v>71</v>
      </c>
      <c r="B32" s="12">
        <v>2150000</v>
      </c>
      <c r="C32" s="12">
        <v>-830000</v>
      </c>
      <c r="D32" s="13">
        <v>1320000</v>
      </c>
    </row>
    <row r="33" spans="1:4" ht="15">
      <c r="A33" s="14" t="s">
        <v>72</v>
      </c>
      <c r="B33" s="15">
        <v>2860000</v>
      </c>
      <c r="C33" s="12">
        <v>-1070000</v>
      </c>
      <c r="D33" s="13">
        <v>1790000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cp:lastPrinted>2015-10-22T22:13:25Z</cp:lastPrinted>
  <dcterms:created xsi:type="dcterms:W3CDTF">2015-10-05T17:22:10Z</dcterms:created>
  <dcterms:modified xsi:type="dcterms:W3CDTF">2016-02-26T16:26:54Z</dcterms:modified>
  <cp:category/>
  <cp:version/>
  <cp:contentType/>
  <cp:contentStatus/>
</cp:coreProperties>
</file>